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029"/>
  <workbookPr defaultThemeVersion="166925"/>
  <bookViews>
    <workbookView xWindow="65416" yWindow="65416" windowWidth="20730" windowHeight="11160" activeTab="1"/>
  </bookViews>
  <sheets>
    <sheet name="RESUMO" sheetId="5" r:id="rId1"/>
    <sheet name="planilha CÂMARA" sheetId="1" r:id="rId2"/>
    <sheet name="cronograma CÂMARA" sheetId="2" r:id="rId3"/>
    <sheet name="BDI" sheetId="6" r:id="rId4"/>
  </sheets>
  <definedNames>
    <definedName name="_xlnm.Print_Area" localSheetId="2">'cronograma CÂMARA'!$A$1:$G$29</definedName>
    <definedName name="_xlnm.Print_Area" localSheetId="1">'planilha CÂMARA'!$A$1:$J$79</definedName>
    <definedName name="_xlnm.Print_Titles" localSheetId="1">'planilha CÂMARA'!$6:$6</definedName>
  </definedNames>
  <calcPr calcId="181029"/>
</workbook>
</file>

<file path=xl/sharedStrings.xml><?xml version="1.0" encoding="utf-8"?>
<sst xmlns="http://schemas.openxmlformats.org/spreadsheetml/2006/main" count="347" uniqueCount="202">
  <si>
    <t>Bancos</t>
  </si>
  <si>
    <t>B.D.I.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</si>
  <si>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</si>
  <si>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</si>
  <si>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</si>
  <si>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</si>
  <si>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</si>
  <si>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</si>
  <si>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</si>
  <si>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</si>
  <si>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</si>
  <si>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</si>
  <si>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</si>
  <si>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</si>
  <si>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</si>
  <si>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>SEDOP</t>
  </si>
  <si>
    <t>Placa de obra em lona com plotagem de grafica</t>
  </si>
  <si>
    <t xml:space="preserve"> 2 </t>
  </si>
  <si>
    <t xml:space="preserve"> 3 </t>
  </si>
  <si>
    <t>UN</t>
  </si>
  <si>
    <t>PINTURAS E ACABAMENTOS</t>
  </si>
  <si>
    <t>M</t>
  </si>
  <si>
    <t>INSTALAÇÕES ELÉTRICAS</t>
  </si>
  <si>
    <t>SERVIÇOS FINAIS</t>
  </si>
  <si>
    <t>Total sem BDI</t>
  </si>
  <si>
    <t>Cronograma Físico e Financeiro</t>
  </si>
  <si>
    <t>Total Por Etapa</t>
  </si>
  <si>
    <t>30 DIAS</t>
  </si>
  <si>
    <t>60 DIAS</t>
  </si>
  <si>
    <t>90 DIAS</t>
  </si>
  <si>
    <t>120 DIAS</t>
  </si>
  <si>
    <t/>
  </si>
  <si>
    <t>Porcentagem</t>
  </si>
  <si>
    <t>Custo</t>
  </si>
  <si>
    <t>Porcentagem Acumulado</t>
  </si>
  <si>
    <t>Custo Acumulado</t>
  </si>
  <si>
    <t>Objeto</t>
  </si>
  <si>
    <t>PLANILHA RESUMO</t>
  </si>
  <si>
    <t>TOTAL</t>
  </si>
  <si>
    <t>TOTAL GERAL DA OBRA</t>
  </si>
  <si>
    <t>Orçamento Sintético</t>
  </si>
  <si>
    <t>CÁLCULO DO BDI</t>
  </si>
  <si>
    <t>Objeto:</t>
  </si>
  <si>
    <t>VALORES ADOTADOS:</t>
  </si>
  <si>
    <t>AC</t>
  </si>
  <si>
    <t>ADMINISTRAÇÃO CENTRAL</t>
  </si>
  <si>
    <t>%</t>
  </si>
  <si>
    <t>S+G</t>
  </si>
  <si>
    <t>SEGURO + GARANTIA</t>
  </si>
  <si>
    <t>R</t>
  </si>
  <si>
    <t>RISCO</t>
  </si>
  <si>
    <t>DF</t>
  </si>
  <si>
    <t>DESPESAS FINANCEIRAS</t>
  </si>
  <si>
    <t xml:space="preserve">ISS </t>
  </si>
  <si>
    <t>I</t>
  </si>
  <si>
    <t>PIS</t>
  </si>
  <si>
    <t>COFINS</t>
  </si>
  <si>
    <t xml:space="preserve">TOTAL "I" = </t>
  </si>
  <si>
    <t>L</t>
  </si>
  <si>
    <t>LUCRO</t>
  </si>
  <si>
    <t>FÓRMULA DE CÁLCULO:</t>
  </si>
  <si>
    <t xml:space="preserve">BDI = </t>
  </si>
  <si>
    <t>(1 + ( AC + S + R + G ))  ( 1 + DF ) ( 1 + L)</t>
  </si>
  <si>
    <t xml:space="preserve"> -</t>
  </si>
  <si>
    <t>x</t>
  </si>
  <si>
    <t>( 1 - I)</t>
  </si>
  <si>
    <t>CÁLCULO:</t>
  </si>
  <si>
    <t>BDI =</t>
  </si>
  <si>
    <t xml:space="preserve"> =</t>
  </si>
  <si>
    <t>O VALOR DO BDI ADOTADO É DE :</t>
  </si>
  <si>
    <t>TOTAL GERAL</t>
  </si>
  <si>
    <t>Total com BDI</t>
  </si>
  <si>
    <t>Total BDI</t>
  </si>
  <si>
    <t>DEMOLIÇÃO E RETIRADA</t>
  </si>
  <si>
    <t>ESTRUTURA</t>
  </si>
  <si>
    <t>Limpeza geral e entrega da obra</t>
  </si>
  <si>
    <t xml:space="preserve">REVESTIMENTOS </t>
  </si>
  <si>
    <t>Reboco com argamassa 1:6:Adit. Plast.</t>
  </si>
  <si>
    <t>ENDEREÇO: SEDE DO MUNICÍPIO DE OUREM/PA</t>
  </si>
  <si>
    <t>REFORMA DA CAMARA</t>
  </si>
  <si>
    <t>Retirada de piso ceramico, inclusive camada regularizadora</t>
  </si>
  <si>
    <t>M2</t>
  </si>
  <si>
    <t>M3</t>
  </si>
  <si>
    <t>1.2</t>
  </si>
  <si>
    <t>1.3</t>
  </si>
  <si>
    <t>Licenças e taxas da obra (até 500m2)</t>
  </si>
  <si>
    <t>Aluguel e montagem de andaime metálico</t>
  </si>
  <si>
    <t>M2/Mê</t>
  </si>
  <si>
    <t>CJ</t>
  </si>
  <si>
    <t>Camada regularizadora no traço 1:4</t>
  </si>
  <si>
    <t>Chapisco de cmento e areia no traço 1;3</t>
  </si>
  <si>
    <t>Rodape em Porcelanato</t>
  </si>
  <si>
    <t>INSTALAÇÕES HIDROSANITÁRIAS</t>
  </si>
  <si>
    <t>10.2</t>
  </si>
  <si>
    <t>Lavatorio de louça s/col.c/torn.,sifao e valv.</t>
  </si>
  <si>
    <t>Bacia sifonada c/ cx. descarga acoplada ecológica com assento</t>
  </si>
  <si>
    <t xml:space="preserve">
Engª Civil  Tayrine Kirna Silveira - CREA 151035882-0
</t>
  </si>
  <si>
    <r>
      <rPr>
        <b/>
        <sz val="11"/>
        <rFont val="Arial"/>
        <family val="1"/>
      </rPr>
      <t>ESTADO DO PARÁ</t>
    </r>
    <r>
      <rPr>
        <sz val="11"/>
        <rFont val="Arial"/>
        <family val="1"/>
      </rPr>
      <t xml:space="preserve">
</t>
    </r>
    <r>
      <rPr>
        <b/>
        <sz val="11"/>
        <rFont val="Arial"/>
        <family val="1"/>
      </rPr>
      <t>CAMARA MUNICIPAL DE OUREM</t>
    </r>
    <r>
      <rPr>
        <sz val="11"/>
        <rFont val="Arial"/>
        <family val="1"/>
      </rPr>
      <t xml:space="preserve">
</t>
    </r>
    <r>
      <rPr>
        <b/>
        <sz val="11"/>
        <rFont val="Arial"/>
        <family val="1"/>
      </rPr>
      <t>CNPJ: 05.361.845/0001-26</t>
    </r>
    <r>
      <rPr>
        <sz val="11"/>
        <rFont val="Arial"/>
        <family val="1"/>
      </rPr>
      <t xml:space="preserve">
</t>
    </r>
  </si>
  <si>
    <t>2.1</t>
  </si>
  <si>
    <t>2.2</t>
  </si>
  <si>
    <t>4.2</t>
  </si>
  <si>
    <t>5.1</t>
  </si>
  <si>
    <t>5.2</t>
  </si>
  <si>
    <t>6.1</t>
  </si>
  <si>
    <t>7.1</t>
  </si>
  <si>
    <t>7.2</t>
  </si>
  <si>
    <t>7.3</t>
  </si>
  <si>
    <t>7.4</t>
  </si>
  <si>
    <t>8.1</t>
  </si>
  <si>
    <t>8.2</t>
  </si>
  <si>
    <t>9.1</t>
  </si>
  <si>
    <t>10.1</t>
  </si>
  <si>
    <t>Retirada de revestimento cerâmico</t>
  </si>
  <si>
    <t>MOVIMENTO DE TERRA</t>
  </si>
  <si>
    <t>Escavação manual ate 1.50m de profundidade</t>
  </si>
  <si>
    <t>Reaterro compactado</t>
  </si>
  <si>
    <t>FUNDAÇÕES</t>
  </si>
  <si>
    <t>Baldrame em concreto simples com seixo inclusive forma madeira branca</t>
  </si>
  <si>
    <t>Bloco em concreto armado p/ fundaçao (incl. forma)</t>
  </si>
  <si>
    <t>Concreto armado Fck=15 MPA c/forma mad. branca (incl. lançamento e adensamento)</t>
  </si>
  <si>
    <t>Laje pré-moldada e=12cm (incl. capeamento) - unidirecional</t>
  </si>
  <si>
    <t>PAREDES E PAINEIS</t>
  </si>
  <si>
    <t>Alvenaria tijolo de barro a singelo</t>
  </si>
  <si>
    <t>COBERTURA</t>
  </si>
  <si>
    <t>Encaibramento e ripamento</t>
  </si>
  <si>
    <t>Estrutura em mad.p/ chapa fibrocimento / telha asfáltica - pc. aparelhada</t>
  </si>
  <si>
    <t>Cobertura - telha de fibrocimento e=6mm</t>
  </si>
  <si>
    <t>3.1</t>
  </si>
  <si>
    <t>3.2</t>
  </si>
  <si>
    <t>4.1</t>
  </si>
  <si>
    <t>Calha em chapa galvanizada</t>
  </si>
  <si>
    <t>8.3</t>
  </si>
  <si>
    <t>8.4</t>
  </si>
  <si>
    <t>Emboço com argamassa 1:6:Adit. Plast</t>
  </si>
  <si>
    <t>PISO</t>
  </si>
  <si>
    <t>Calçada (incl.alicerce, baldrame e concreto c/ junta seca)</t>
  </si>
  <si>
    <t>Camada impermeabilizadora e=10cm c/ seixo</t>
  </si>
  <si>
    <t>9.2</t>
  </si>
  <si>
    <t>9.3</t>
  </si>
  <si>
    <t>9.4</t>
  </si>
  <si>
    <t>Porcelanato (natural) - incluindo rejuntamento (Padrão Médio)</t>
  </si>
  <si>
    <t>9.5</t>
  </si>
  <si>
    <t>Porcelanato (polido) - incluindo rejuntamento (Padrão Médio)</t>
  </si>
  <si>
    <t>Latex acrilica fosca int. e ext. sem massa c/ selador</t>
  </si>
  <si>
    <t>Latex acrílica semi-brilho c/ massa e selador - interna e externa</t>
  </si>
  <si>
    <t>Latex acrílica sobre muro</t>
  </si>
  <si>
    <t>Acrílica para piso</t>
  </si>
  <si>
    <t>Assento de poliester</t>
  </si>
  <si>
    <t>Ducha higienica cromada</t>
  </si>
  <si>
    <t>Engate flexível cromado 40cm</t>
  </si>
  <si>
    <t>Grelha metálica p/ caixa sifonada - 10x10cm</t>
  </si>
  <si>
    <t>11.1</t>
  </si>
  <si>
    <t>11.2</t>
  </si>
  <si>
    <t>11.3</t>
  </si>
  <si>
    <t>11.4</t>
  </si>
  <si>
    <t>Porta papel higiênico - Polipropileno</t>
  </si>
  <si>
    <t>Porta toalha de papel - Polipropileno</t>
  </si>
  <si>
    <t>Saboneteira c/ reservatório - Polipropileno</t>
  </si>
  <si>
    <t>Tanque de louça c/ torneira, sifao e valvula</t>
  </si>
  <si>
    <t>Torneira com alavanca</t>
  </si>
  <si>
    <t>Torneira de metal cromada de 1/2" ou 3/4" p/ lavatório</t>
  </si>
  <si>
    <t>Plantio de grama (incl. terra preta)</t>
  </si>
  <si>
    <t>Interruptor 1 tecla simples (s/fiaçao)</t>
  </si>
  <si>
    <t>Ponto de luz / força (c/tubul., cx. e fiaçao) ate 200W</t>
  </si>
  <si>
    <t>Tomada 2P+T 10A (s/fiaçao)</t>
  </si>
  <si>
    <t>Luminária de sobrepor com aletas e 2 lâmpadas de Led de 18W</t>
  </si>
  <si>
    <t>Caixa em alvenaria de 40x40x40cm c/ tpo. concreto</t>
  </si>
  <si>
    <t>Tubo em PVC - 100mm (LS)</t>
  </si>
  <si>
    <t>Luva simples PVC 100mm - LS</t>
  </si>
  <si>
    <t>Chuveiro cromado</t>
  </si>
  <si>
    <t>12.1</t>
  </si>
  <si>
    <t>12.2</t>
  </si>
  <si>
    <t>12.3</t>
  </si>
  <si>
    <t>12.4</t>
  </si>
  <si>
    <t>OUTROS</t>
  </si>
  <si>
    <t>13.1</t>
  </si>
  <si>
    <t>13.2</t>
  </si>
  <si>
    <t>14.1</t>
  </si>
  <si>
    <t>ESQUADRIAS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</si>
  <si>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</si>
  <si>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</si>
  <si>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</si>
  <si>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</si>
  <si>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</si>
  <si>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</si>
  <si>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</si>
  <si>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</si>
  <si>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</si>
  <si>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</si>
  <si>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</si>
  <si>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</si>
  <si>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</si>
  <si>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</si>
  <si>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15.1</t>
  </si>
  <si>
    <t>Esquadria mad. e=3cm c/ caixilho</t>
  </si>
  <si>
    <t>Porta de aço-esteira de enrolar c/ferr.(incl.pint.anti-corrosiva)</t>
  </si>
  <si>
    <t>DATA: OUTUBRO DE 2023</t>
  </si>
  <si>
    <t>S/ B.D.I.</t>
  </si>
  <si>
    <t xml:space="preserve">
SEDOP - 10/2023 - Pará
</t>
  </si>
  <si>
    <t>10.3</t>
  </si>
  <si>
    <t>Esquadria de correr em vidro temperado de 10mm</t>
  </si>
  <si>
    <t>ADEQUAÇÃO DE UM PRÉDIO PÚBLICO DA CÂMARA MUNICIPAL DE OUREM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</si>
</sst>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#,##0.0000"/>
    <numFmt numFmtId="165" formatCode="0.00000000"/>
    <numFmt numFmtId="166" formatCode="0.00000"/>
  </numFmts>
  <fonts count="18">
    <font>
      <sz val="11"/>
      <name val="Arial"/>
      <family val="1"/>
    </font>
    <font>
      <sz val="10"/>
      <name val="Arial"/>
      <family val="2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b/>
      <sz val="9"/>
      <name val="Arial"/>
      <family val="1"/>
    </font>
    <font>
      <b/>
      <sz val="12"/>
      <color rgb="FF000000"/>
      <name val="Arial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 val="single"/>
      <sz val="9"/>
      <color theme="1"/>
      <name val="Arial Narrow"/>
      <family val="2"/>
    </font>
    <font>
      <u val="single"/>
      <sz val="9"/>
      <color theme="1"/>
      <name val="Arial Narrow"/>
      <family val="2"/>
    </font>
    <font>
      <b/>
      <sz val="16"/>
      <name val="Arial"/>
      <family val="1"/>
    </font>
    <font>
      <sz val="16"/>
      <name val="Arial"/>
      <family val="1"/>
    </font>
    <font>
      <sz val="8"/>
      <name val="Arial"/>
      <family val="1"/>
    </font>
    <font>
      <b/>
      <sz val="10"/>
      <color rgb="FFFF0000"/>
      <name val="Arial"/>
      <family val="1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DD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/>
      <bottom style="thick">
        <color rgb="FFFF5500"/>
      </bottom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 style="thin">
        <color rgb="FFCCCCCC"/>
      </bottom>
    </border>
    <border>
      <left/>
      <right/>
      <top style="thin">
        <color rgb="FFCCCCCC"/>
      </top>
      <bottom/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/>
      <top style="thick">
        <color rgb="FFFF5500"/>
      </top>
      <bottom/>
    </border>
    <border>
      <left/>
      <right/>
      <top style="thick">
        <color rgb="FFFF5500"/>
      </top>
      <bottom/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/>
    </border>
    <border>
      <left/>
      <right style="thin">
        <color rgb="FFCCCCCC"/>
      </right>
      <top style="thin">
        <color rgb="FFCCCCCC"/>
      </top>
      <bottom/>
    </border>
    <border>
      <left/>
      <right/>
      <top/>
      <bottom style="thin">
        <color rgb="FFCCCCCC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center" vertical="center" wrapText="1"/>
    </xf>
    <xf numFmtId="44" fontId="3" fillId="4" borderId="0" xfId="2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vertical="top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4" fontId="9" fillId="0" borderId="0" xfId="0" applyNumberFormat="1" applyFont="1"/>
    <xf numFmtId="165" fontId="9" fillId="0" borderId="0" xfId="0" applyNumberFormat="1" applyFont="1"/>
    <xf numFmtId="4" fontId="10" fillId="0" borderId="0" xfId="0" applyNumberFormat="1" applyFont="1"/>
    <xf numFmtId="4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4" fontId="9" fillId="0" borderId="2" xfId="0" applyNumberFormat="1" applyFont="1" applyBorder="1"/>
    <xf numFmtId="4" fontId="9" fillId="0" borderId="3" xfId="0" applyNumberFormat="1" applyFont="1" applyBorder="1"/>
    <xf numFmtId="4" fontId="8" fillId="0" borderId="3" xfId="0" applyNumberFormat="1" applyFont="1" applyBorder="1"/>
    <xf numFmtId="4" fontId="9" fillId="0" borderId="4" xfId="0" applyNumberFormat="1" applyFont="1" applyBorder="1"/>
    <xf numFmtId="4" fontId="8" fillId="0" borderId="0" xfId="0" applyNumberFormat="1" applyFont="1"/>
    <xf numFmtId="4" fontId="9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6" xfId="0" applyNumberFormat="1" applyFont="1" applyBorder="1"/>
    <xf numFmtId="4" fontId="9" fillId="0" borderId="7" xfId="0" applyNumberFormat="1" applyFont="1" applyBorder="1"/>
    <xf numFmtId="4" fontId="9" fillId="0" borderId="8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9" xfId="0" applyNumberFormat="1" applyFont="1" applyBorder="1"/>
    <xf numFmtId="4" fontId="8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166" fontId="9" fillId="0" borderId="0" xfId="0" applyNumberFormat="1" applyFont="1"/>
    <xf numFmtId="4" fontId="9" fillId="0" borderId="5" xfId="0" applyNumberFormat="1" applyFont="1" applyBorder="1"/>
    <xf numFmtId="4" fontId="9" fillId="0" borderId="8" xfId="0" applyNumberFormat="1" applyFont="1" applyBorder="1"/>
    <xf numFmtId="4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10" xfId="0" applyNumberFormat="1" applyFont="1" applyBorder="1"/>
    <xf numFmtId="4" fontId="9" fillId="0" borderId="11" xfId="0" applyNumberFormat="1" applyFont="1" applyBorder="1"/>
    <xf numFmtId="4" fontId="9" fillId="0" borderId="12" xfId="0" applyNumberFormat="1" applyFont="1" applyBorder="1"/>
    <xf numFmtId="4" fontId="9" fillId="0" borderId="11" xfId="0" applyNumberFormat="1" applyFont="1" applyBorder="1" applyAlignment="1">
      <alignment horizontal="center"/>
    </xf>
    <xf numFmtId="164" fontId="9" fillId="0" borderId="0" xfId="0" applyNumberFormat="1" applyFont="1"/>
    <xf numFmtId="4" fontId="8" fillId="0" borderId="0" xfId="0" applyNumberFormat="1" applyFont="1" applyAlignment="1">
      <alignment horizontal="right"/>
    </xf>
    <xf numFmtId="165" fontId="8" fillId="0" borderId="0" xfId="0" applyNumberFormat="1" applyFont="1"/>
    <xf numFmtId="0" fontId="3" fillId="3" borderId="1" xfId="0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horizontal="right" vertical="top" wrapText="1"/>
    </xf>
    <xf numFmtId="4" fontId="8" fillId="0" borderId="13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vertical="top"/>
    </xf>
    <xf numFmtId="165" fontId="9" fillId="0" borderId="0" xfId="0" applyNumberFormat="1" applyFont="1" applyAlignment="1">
      <alignment vertical="top"/>
    </xf>
    <xf numFmtId="4" fontId="9" fillId="0" borderId="0" xfId="0" applyNumberFormat="1" applyFont="1" applyAlignment="1">
      <alignment horizontal="left" wrapText="1"/>
    </xf>
    <xf numFmtId="4" fontId="3" fillId="3" borderId="1" xfId="0" applyNumberFormat="1" applyFont="1" applyFill="1" applyBorder="1" applyAlignment="1">
      <alignment horizontal="left" vertical="top" wrapText="1"/>
    </xf>
    <xf numFmtId="10" fontId="4" fillId="2" borderId="0" xfId="0" applyNumberFormat="1" applyFont="1" applyFill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center" vertical="top" wrapText="1"/>
    </xf>
    <xf numFmtId="4" fontId="5" fillId="4" borderId="14" xfId="0" applyNumberFormat="1" applyFont="1" applyFill="1" applyBorder="1" applyAlignment="1">
      <alignment horizontal="right" vertical="top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3" fillId="5" borderId="0" xfId="0" applyFont="1" applyFill="1" applyAlignment="1">
      <alignment horizontal="right" vertical="top" wrapText="1"/>
    </xf>
    <xf numFmtId="4" fontId="3" fillId="5" borderId="0" xfId="0" applyNumberFormat="1" applyFont="1" applyFill="1" applyAlignment="1">
      <alignment horizontal="center" vertical="top" wrapText="1"/>
    </xf>
    <xf numFmtId="4" fontId="3" fillId="5" borderId="0" xfId="0" applyNumberFormat="1" applyFont="1" applyFill="1" applyAlignment="1">
      <alignment horizontal="right" vertical="top" wrapText="1"/>
    </xf>
    <xf numFmtId="10" fontId="2" fillId="2" borderId="0" xfId="0" applyNumberFormat="1" applyFont="1" applyFill="1" applyAlignment="1">
      <alignment horizontal="left" vertical="top" wrapText="1"/>
    </xf>
    <xf numFmtId="10" fontId="2" fillId="2" borderId="1" xfId="0" applyNumberFormat="1" applyFont="1" applyFill="1" applyBorder="1" applyAlignment="1">
      <alignment horizontal="right" vertical="top" wrapText="1"/>
    </xf>
    <xf numFmtId="10" fontId="3" fillId="3" borderId="1" xfId="0" applyNumberFormat="1" applyFont="1" applyFill="1" applyBorder="1" applyAlignment="1">
      <alignment horizontal="right" vertical="top" wrapText="1"/>
    </xf>
    <xf numFmtId="10" fontId="1" fillId="2" borderId="0" xfId="0" applyNumberFormat="1" applyFont="1" applyFill="1" applyAlignment="1">
      <alignment horizontal="center" vertical="top" wrapText="1"/>
    </xf>
    <xf numFmtId="10" fontId="0" fillId="0" borderId="0" xfId="0" applyNumberFormat="1"/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4" fillId="2" borderId="0" xfId="0" applyNumberFormat="1" applyFont="1" applyFill="1" applyAlignment="1">
      <alignment horizontal="left" vertical="top" wrapText="1"/>
    </xf>
    <xf numFmtId="4" fontId="1" fillId="2" borderId="0" xfId="0" applyNumberFormat="1" applyFont="1" applyFill="1" applyAlignment="1">
      <alignment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left" vertical="top" wrapText="1"/>
    </xf>
    <xf numFmtId="4" fontId="0" fillId="2" borderId="0" xfId="0" applyNumberFormat="1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4" borderId="15" xfId="0" applyNumberFormat="1" applyFont="1" applyFill="1" applyBorder="1" applyAlignment="1">
      <alignment horizontal="right" vertical="top" wrapText="1"/>
    </xf>
    <xf numFmtId="4" fontId="5" fillId="4" borderId="16" xfId="0" applyNumberFormat="1" applyFont="1" applyFill="1" applyBorder="1" applyAlignment="1">
      <alignment horizontal="right" vertical="top" wrapText="1"/>
    </xf>
    <xf numFmtId="0" fontId="0" fillId="0" borderId="1" xfId="0" applyBorder="1"/>
    <xf numFmtId="10" fontId="1" fillId="2" borderId="0" xfId="0" applyNumberFormat="1" applyFont="1" applyFill="1" applyAlignment="1">
      <alignment horizontal="left" vertical="top" wrapText="1"/>
    </xf>
    <xf numFmtId="10" fontId="0" fillId="2" borderId="0" xfId="0" applyNumberFormat="1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" fillId="2" borderId="0" xfId="0" applyFont="1" applyFill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2" fillId="2" borderId="0" xfId="0" applyNumberFormat="1" applyFont="1" applyFill="1" applyAlignment="1">
      <alignment horizontal="right" vertical="center" wrapText="1"/>
    </xf>
    <xf numFmtId="10" fontId="1" fillId="2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4" fontId="15" fillId="2" borderId="0" xfId="0" applyNumberFormat="1" applyFont="1" applyFill="1" applyAlignment="1">
      <alignment horizontal="right" vertical="center" wrapText="1"/>
    </xf>
    <xf numFmtId="10" fontId="1" fillId="0" borderId="0" xfId="0" applyNumberFormat="1" applyFont="1" applyAlignment="1">
      <alignment vertical="center"/>
    </xf>
    <xf numFmtId="4" fontId="5" fillId="4" borderId="0" xfId="0" applyNumberFormat="1" applyFont="1" applyFill="1" applyAlignment="1">
      <alignment horizontal="right" vertical="top" wrapText="1"/>
    </xf>
    <xf numFmtId="4" fontId="5" fillId="4" borderId="17" xfId="0" applyNumberFormat="1" applyFont="1" applyFill="1" applyBorder="1" applyAlignment="1">
      <alignment horizontal="right" vertical="top" wrapText="1"/>
    </xf>
    <xf numFmtId="4" fontId="3" fillId="4" borderId="18" xfId="0" applyNumberFormat="1" applyFont="1" applyFill="1" applyBorder="1" applyAlignment="1">
      <alignment horizontal="right" vertical="top" wrapText="1"/>
    </xf>
    <xf numFmtId="4" fontId="5" fillId="4" borderId="19" xfId="0" applyNumberFormat="1" applyFont="1" applyFill="1" applyBorder="1" applyAlignment="1">
      <alignment horizontal="right" vertical="top" wrapText="1"/>
    </xf>
    <xf numFmtId="4" fontId="5" fillId="4" borderId="20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4" fontId="3" fillId="3" borderId="21" xfId="20" applyFont="1" applyFill="1" applyBorder="1" applyAlignment="1">
      <alignment horizontal="center" vertical="center" wrapText="1"/>
    </xf>
    <xf numFmtId="44" fontId="3" fillId="3" borderId="16" xfId="20" applyFont="1" applyFill="1" applyBorder="1" applyAlignment="1">
      <alignment horizontal="center" vertical="center" wrapText="1"/>
    </xf>
    <xf numFmtId="44" fontId="3" fillId="3" borderId="15" xfId="2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3" borderId="21" xfId="20" applyFont="1" applyFill="1" applyBorder="1" applyAlignment="1">
      <alignment horizontal="center" vertical="top" wrapText="1"/>
    </xf>
    <xf numFmtId="44" fontId="3" fillId="3" borderId="16" xfId="20" applyFont="1" applyFill="1" applyBorder="1" applyAlignment="1">
      <alignment horizontal="center" vertical="top" wrapText="1"/>
    </xf>
    <xf numFmtId="44" fontId="3" fillId="3" borderId="15" xfId="2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12" fillId="2" borderId="0" xfId="0" applyFont="1" applyFill="1" applyAlignment="1">
      <alignment horizontal="center" wrapText="1"/>
    </xf>
    <xf numFmtId="0" fontId="13" fillId="0" borderId="0" xfId="0" applyFont="1"/>
    <xf numFmtId="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0" fontId="2" fillId="2" borderId="24" xfId="0" applyFont="1" applyFill="1" applyBorder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8" fillId="0" borderId="9" xfId="0" applyNumberFormat="1" applyFont="1" applyBorder="1" applyAlignment="1">
      <alignment horizontal="center"/>
    </xf>
    <xf numFmtId="4" fontId="8" fillId="6" borderId="25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4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17</xdr:row>
      <xdr:rowOff>47625</xdr:rowOff>
    </xdr:from>
    <xdr:to>
      <xdr:col>3</xdr:col>
      <xdr:colOff>200025</xdr:colOff>
      <xdr:row>19</xdr:row>
      <xdr:rowOff>123825</xdr:rowOff>
    </xdr:to>
    <xdr:sp macro="" textlink="">
      <xdr:nvSpPr>
        <xdr:cNvPr id="2" name="Chave esquerda 1"/>
        <xdr:cNvSpPr/>
      </xdr:nvSpPr>
      <xdr:spPr>
        <a:xfrm>
          <a:off x="1276350" y="3352800"/>
          <a:ext cx="104775" cy="438150"/>
        </a:xfrm>
        <a:prstGeom prst="leftBrace">
          <a:avLst>
            <a:gd name="adj1" fmla="val 8333"/>
            <a:gd name="adj2" fmla="val 50852"/>
          </a:avLst>
        </a:prstGeom>
        <a:noFill/>
        <a:ln w="6350" cap="rnd" cmpd="sng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390525</xdr:colOff>
      <xdr:row>26</xdr:row>
      <xdr:rowOff>142875</xdr:rowOff>
    </xdr:from>
    <xdr:to>
      <xdr:col>2</xdr:col>
      <xdr:colOff>438150</xdr:colOff>
      <xdr:row>29</xdr:row>
      <xdr:rowOff>28575</xdr:rowOff>
    </xdr:to>
    <xdr:sp macro="" textlink="">
      <xdr:nvSpPr>
        <xdr:cNvPr id="3" name="Colchete esquerdo 2"/>
        <xdr:cNvSpPr/>
      </xdr:nvSpPr>
      <xdr:spPr>
        <a:xfrm>
          <a:off x="990600" y="497205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</xdr:colOff>
      <xdr:row>26</xdr:row>
      <xdr:rowOff>104775</xdr:rowOff>
    </xdr:from>
    <xdr:to>
      <xdr:col>6</xdr:col>
      <xdr:colOff>95250</xdr:colOff>
      <xdr:row>29</xdr:row>
      <xdr:rowOff>0</xdr:rowOff>
    </xdr:to>
    <xdr:sp macro="" textlink="">
      <xdr:nvSpPr>
        <xdr:cNvPr id="4" name="Colchete direito 4"/>
        <xdr:cNvSpPr/>
      </xdr:nvSpPr>
      <xdr:spPr>
        <a:xfrm>
          <a:off x="3990975" y="4933950"/>
          <a:ext cx="57150" cy="438150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38100</xdr:colOff>
      <xdr:row>32</xdr:row>
      <xdr:rowOff>104775</xdr:rowOff>
    </xdr:from>
    <xdr:to>
      <xdr:col>6</xdr:col>
      <xdr:colOff>95250</xdr:colOff>
      <xdr:row>35</xdr:row>
      <xdr:rowOff>0</xdr:rowOff>
    </xdr:to>
    <xdr:sp macro="" textlink="">
      <xdr:nvSpPr>
        <xdr:cNvPr id="5" name="Colchete direito 5"/>
        <xdr:cNvSpPr/>
      </xdr:nvSpPr>
      <xdr:spPr>
        <a:xfrm>
          <a:off x="3990975" y="6019800"/>
          <a:ext cx="57150" cy="438150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371475</xdr:colOff>
      <xdr:row>32</xdr:row>
      <xdr:rowOff>133350</xdr:rowOff>
    </xdr:from>
    <xdr:to>
      <xdr:col>2</xdr:col>
      <xdr:colOff>419100</xdr:colOff>
      <xdr:row>35</xdr:row>
      <xdr:rowOff>19050</xdr:rowOff>
    </xdr:to>
    <xdr:sp macro="" textlink="">
      <xdr:nvSpPr>
        <xdr:cNvPr id="6" name="Colchete esquerdo 6"/>
        <xdr:cNvSpPr/>
      </xdr:nvSpPr>
      <xdr:spPr>
        <a:xfrm>
          <a:off x="971550" y="6048375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9525</xdr:colOff>
      <xdr:row>32</xdr:row>
      <xdr:rowOff>142875</xdr:rowOff>
    </xdr:from>
    <xdr:to>
      <xdr:col>3</xdr:col>
      <xdr:colOff>57150</xdr:colOff>
      <xdr:row>35</xdr:row>
      <xdr:rowOff>28575</xdr:rowOff>
    </xdr:to>
    <xdr:sp macro="" textlink="">
      <xdr:nvSpPr>
        <xdr:cNvPr id="7" name="Colchete esquerdo 6"/>
        <xdr:cNvSpPr/>
      </xdr:nvSpPr>
      <xdr:spPr>
        <a:xfrm>
          <a:off x="1190625" y="605790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2</xdr:col>
      <xdr:colOff>314325</xdr:colOff>
      <xdr:row>26</xdr:row>
      <xdr:rowOff>142875</xdr:rowOff>
    </xdr:from>
    <xdr:to>
      <xdr:col>2</xdr:col>
      <xdr:colOff>361950</xdr:colOff>
      <xdr:row>29</xdr:row>
      <xdr:rowOff>28575</xdr:rowOff>
    </xdr:to>
    <xdr:sp macro="" textlink="">
      <xdr:nvSpPr>
        <xdr:cNvPr id="8" name="Colchete esquerdo 6"/>
        <xdr:cNvSpPr/>
      </xdr:nvSpPr>
      <xdr:spPr>
        <a:xfrm>
          <a:off x="914400" y="4972050"/>
          <a:ext cx="47625" cy="428625"/>
        </a:xfrm>
        <a:prstGeom prst="lef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2114550</xdr:colOff>
      <xdr:row>26</xdr:row>
      <xdr:rowOff>133350</xdr:rowOff>
    </xdr:from>
    <xdr:to>
      <xdr:col>4</xdr:col>
      <xdr:colOff>38100</xdr:colOff>
      <xdr:row>29</xdr:row>
      <xdr:rowOff>38100</xdr:rowOff>
    </xdr:to>
    <xdr:sp macro="" textlink="">
      <xdr:nvSpPr>
        <xdr:cNvPr id="9" name="Colchete direito 5"/>
        <xdr:cNvSpPr/>
      </xdr:nvSpPr>
      <xdr:spPr>
        <a:xfrm>
          <a:off x="3295650" y="4962525"/>
          <a:ext cx="57150" cy="447675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2114550</xdr:colOff>
      <xdr:row>32</xdr:row>
      <xdr:rowOff>95250</xdr:rowOff>
    </xdr:from>
    <xdr:to>
      <xdr:col>4</xdr:col>
      <xdr:colOff>38100</xdr:colOff>
      <xdr:row>34</xdr:row>
      <xdr:rowOff>161925</xdr:rowOff>
    </xdr:to>
    <xdr:sp macro="" textlink="">
      <xdr:nvSpPr>
        <xdr:cNvPr id="10" name="Colchete direito 5"/>
        <xdr:cNvSpPr/>
      </xdr:nvSpPr>
      <xdr:spPr>
        <a:xfrm>
          <a:off x="3295650" y="6010275"/>
          <a:ext cx="57150" cy="428625"/>
        </a:xfrm>
        <a:prstGeom prst="rightBracket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view="pageBreakPreview" zoomScaleSheetLayoutView="100" workbookViewId="0" topLeftCell="A1">
      <selection activeCell="H6" sqref="H6"/>
    </sheetView>
  </sheetViews>
  <sheetFormatPr defaultColWidth="9.00390625" defaultRowHeight="14.25"/>
  <cols>
    <col min="4" max="4" width="55.375" style="0" customWidth="1"/>
  </cols>
  <sheetData>
    <row r="1" spans="1:11" ht="80.45" customHeight="1">
      <c r="A1" s="170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0.15" customHeight="1">
      <c r="A2" s="18"/>
      <c r="B2" s="19"/>
      <c r="C2" s="19"/>
      <c r="I2" s="175"/>
      <c r="J2" s="175"/>
      <c r="K2" s="175"/>
    </row>
    <row r="3" spans="1:11" ht="13.9" customHeight="1">
      <c r="A3" s="20"/>
      <c r="B3" s="12"/>
      <c r="C3" s="12"/>
      <c r="D3" s="12" t="s">
        <v>36</v>
      </c>
      <c r="E3" s="175"/>
      <c r="F3" s="175"/>
      <c r="G3" s="175"/>
      <c r="H3" s="12" t="s">
        <v>1</v>
      </c>
      <c r="I3" s="175"/>
      <c r="J3" s="175"/>
      <c r="K3" s="175"/>
    </row>
    <row r="4" spans="1:11" ht="9" customHeight="1">
      <c r="A4" s="20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6" customHeight="1">
      <c r="A5" s="15"/>
      <c r="B5" s="13"/>
      <c r="C5" s="13"/>
      <c r="D5" s="176" t="s">
        <v>201</v>
      </c>
      <c r="E5" s="176"/>
      <c r="F5" s="176"/>
      <c r="G5" s="176"/>
      <c r="H5" s="112">
        <v>0.2882</v>
      </c>
      <c r="I5" s="176"/>
      <c r="J5" s="176"/>
      <c r="K5" s="176"/>
    </row>
    <row r="6" spans="1:11" ht="33.6" customHeight="1">
      <c r="A6" s="15"/>
      <c r="B6" s="13"/>
      <c r="C6" s="13"/>
      <c r="D6" s="177" t="s">
        <v>78</v>
      </c>
      <c r="E6" s="177"/>
      <c r="F6" s="177"/>
      <c r="G6" s="13"/>
      <c r="H6" s="13"/>
      <c r="I6" s="13"/>
      <c r="J6" s="13"/>
      <c r="K6" s="13"/>
    </row>
    <row r="7" spans="1:11" ht="10.9" customHeight="1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4.25">
      <c r="A8" s="15"/>
      <c r="B8" s="13"/>
      <c r="C8" s="13"/>
      <c r="D8" s="26" t="s">
        <v>196</v>
      </c>
      <c r="E8" s="13"/>
      <c r="F8" s="13"/>
      <c r="G8" s="13"/>
      <c r="H8" s="13"/>
      <c r="I8" s="13"/>
      <c r="J8" s="13"/>
      <c r="K8" s="13"/>
    </row>
    <row r="9" spans="1:11" ht="6" customHeight="1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5.75">
      <c r="A10" s="178" t="s">
        <v>37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15">
      <c r="A11" s="180" t="s">
        <v>2</v>
      </c>
      <c r="B11" s="181"/>
      <c r="C11" s="182"/>
      <c r="D11" s="21" t="s">
        <v>5</v>
      </c>
      <c r="E11" s="183" t="s">
        <v>38</v>
      </c>
      <c r="F11" s="184"/>
      <c r="G11" s="184"/>
      <c r="H11" s="184"/>
      <c r="I11" s="184"/>
      <c r="J11" s="184"/>
      <c r="K11" s="185"/>
    </row>
    <row r="12" spans="1:11" ht="14.25">
      <c r="A12" s="162" t="s">
        <v>12</v>
      </c>
      <c r="B12" s="163"/>
      <c r="C12" s="164"/>
      <c r="D12" s="22" t="s">
        <v>79</v>
      </c>
      <c r="E12" s="172">
        <f>'planilha CÂMARA'!$H$79</f>
        <v>178484.61000000002</v>
      </c>
      <c r="F12" s="173"/>
      <c r="G12" s="173"/>
      <c r="H12" s="173"/>
      <c r="I12" s="173"/>
      <c r="J12" s="173"/>
      <c r="K12" s="174"/>
    </row>
    <row r="13" spans="1:11" ht="14.25">
      <c r="A13" s="23"/>
      <c r="B13" s="23"/>
      <c r="C13" s="23"/>
      <c r="D13" s="24"/>
      <c r="E13" s="17"/>
      <c r="F13" s="23"/>
      <c r="G13" s="25"/>
      <c r="H13" s="25"/>
      <c r="I13" s="25"/>
      <c r="J13" s="25"/>
      <c r="K13" s="25"/>
    </row>
    <row r="14" spans="1:11" ht="35.45" customHeight="1">
      <c r="A14" s="162" t="s">
        <v>39</v>
      </c>
      <c r="B14" s="163"/>
      <c r="C14" s="163"/>
      <c r="D14" s="164"/>
      <c r="E14" s="165">
        <f>E12</f>
        <v>178484.61000000002</v>
      </c>
      <c r="F14" s="166"/>
      <c r="G14" s="166"/>
      <c r="H14" s="166"/>
      <c r="I14" s="166"/>
      <c r="J14" s="166"/>
      <c r="K14" s="167"/>
    </row>
    <row r="15" spans="1:11" ht="121.15" customHeight="1">
      <c r="A15" s="27"/>
      <c r="B15" s="27"/>
      <c r="C15" s="27"/>
      <c r="D15" s="27"/>
      <c r="E15" s="28"/>
      <c r="F15" s="28"/>
      <c r="G15" s="28"/>
      <c r="H15" s="28"/>
      <c r="I15" s="28"/>
      <c r="J15" s="28"/>
      <c r="K15" s="28"/>
    </row>
    <row r="16" spans="1:10" ht="41.45" customHeight="1">
      <c r="A16" s="168"/>
      <c r="B16" s="169"/>
      <c r="C16" s="169"/>
      <c r="D16" s="169"/>
      <c r="E16" s="169"/>
      <c r="F16" s="169"/>
      <c r="G16" s="169"/>
      <c r="H16" s="169"/>
      <c r="I16" s="169"/>
      <c r="J16" s="169"/>
    </row>
  </sheetData>
  <mergeCells count="15">
    <mergeCell ref="A14:D14"/>
    <mergeCell ref="E14:K14"/>
    <mergeCell ref="A16:J16"/>
    <mergeCell ref="A1:K1"/>
    <mergeCell ref="A12:C12"/>
    <mergeCell ref="E12:K12"/>
    <mergeCell ref="I2:K2"/>
    <mergeCell ref="E3:G3"/>
    <mergeCell ref="I3:K3"/>
    <mergeCell ref="I5:K5"/>
    <mergeCell ref="D5:G5"/>
    <mergeCell ref="D6:F6"/>
    <mergeCell ref="A10:K10"/>
    <mergeCell ref="A11:C11"/>
    <mergeCell ref="E11:K11"/>
  </mergeCells>
  <printOptions horizontalCentered="1"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59" r:id="rId2"/>
  <headerFooter>
    <oddHeader>&amp;C&amp;G</oddHeader>
    <oddFooter>&amp;CPágina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81"/>
  <sheetViews>
    <sheetView tabSelected="1" showOutlineSymbols="0" view="pageBreakPreview" zoomScale="86" zoomScaleSheetLayoutView="86" workbookViewId="0" topLeftCell="A1">
      <selection activeCell="K4" sqref="K4"/>
    </sheetView>
  </sheetViews>
  <sheetFormatPr defaultColWidth="9.00390625" defaultRowHeight="14.25"/>
  <cols>
    <col min="1" max="2" width="10.00390625" style="31" bestFit="1" customWidth="1"/>
    <col min="3" max="3" width="13.25390625" style="31" bestFit="1" customWidth="1"/>
    <col min="4" max="4" width="60.00390625" style="0" bestFit="1" customWidth="1"/>
    <col min="5" max="5" width="8.00390625" style="0" bestFit="1" customWidth="1"/>
    <col min="6" max="9" width="13.00390625" style="92" bestFit="1" customWidth="1"/>
    <col min="10" max="10" width="10.25390625" style="90" customWidth="1"/>
    <col min="11" max="11" width="8.375" style="155" bestFit="1" customWidth="1"/>
    <col min="12" max="12" width="10.875" style="0" bestFit="1" customWidth="1"/>
    <col min="13" max="13" width="6.625" style="92" bestFit="1" customWidth="1"/>
    <col min="14" max="14" width="11.125" style="151" bestFit="1" customWidth="1"/>
    <col min="15" max="15" width="10.875" style="0" bestFit="1" customWidth="1"/>
    <col min="16" max="17" width="9.25390625" style="92" bestFit="1" customWidth="1"/>
    <col min="18" max="18" width="8.875" style="92" bestFit="1" customWidth="1"/>
    <col min="19" max="19" width="9.25390625" style="92" bestFit="1" customWidth="1"/>
    <col min="20" max="20" width="2.875" style="0" customWidth="1"/>
    <col min="21" max="21" width="7.125" style="92" bestFit="1" customWidth="1"/>
    <col min="22" max="22" width="9.50390625" style="92" bestFit="1" customWidth="1"/>
    <col min="23" max="23" width="9.875" style="0" bestFit="1" customWidth="1"/>
    <col min="24" max="24" width="8.00390625" style="0" bestFit="1" customWidth="1"/>
    <col min="25" max="25" width="9.50390625" style="92" bestFit="1" customWidth="1"/>
    <col min="26" max="26" width="10.125" style="0" bestFit="1" customWidth="1"/>
  </cols>
  <sheetData>
    <row r="1" spans="2:25" ht="65.25" customHeight="1">
      <c r="B1" s="123"/>
      <c r="C1" s="123"/>
      <c r="D1" s="186" t="str">
        <f>RESUMO!$A$1</f>
        <v xml:space="preserve">ESTADO DO PARÁ
CAMARA MUNICIPAL DE OUREM
CNPJ: 05.361.845/0001-26
</v>
      </c>
      <c r="E1" s="187"/>
      <c r="F1" s="187"/>
      <c r="G1" s="123"/>
      <c r="H1" s="123"/>
      <c r="I1" s="123"/>
      <c r="J1" s="123"/>
      <c r="N1" s="146"/>
      <c r="U1"/>
      <c r="V1"/>
      <c r="Y1" s="123"/>
    </row>
    <row r="2" spans="1:25" ht="13.9" customHeight="1">
      <c r="A2" s="20"/>
      <c r="B2" s="20"/>
      <c r="C2" s="175" t="s">
        <v>36</v>
      </c>
      <c r="D2" s="175"/>
      <c r="E2" s="29"/>
      <c r="F2" s="93"/>
      <c r="G2" s="94" t="s">
        <v>1</v>
      </c>
      <c r="H2" s="102" t="s">
        <v>0</v>
      </c>
      <c r="I2" s="103"/>
      <c r="J2" s="86"/>
      <c r="N2" s="147" t="s">
        <v>1</v>
      </c>
      <c r="P2" s="92" t="s">
        <v>1</v>
      </c>
      <c r="U2" s="93"/>
      <c r="V2" s="94" t="s">
        <v>1</v>
      </c>
      <c r="Y2" s="94" t="s">
        <v>1</v>
      </c>
    </row>
    <row r="3" spans="1:25" ht="18.75" customHeight="1">
      <c r="A3" s="15"/>
      <c r="B3" s="15"/>
      <c r="C3" s="176" t="str">
        <f>RESUMO!$D$5</f>
        <v>ADEQUAÇÃO DE UM PRÉDIO PÚBLICO DA CÂMARA MUNICIPAL DE OUREM</v>
      </c>
      <c r="D3" s="176"/>
      <c r="E3" s="13"/>
      <c r="F3" s="95"/>
      <c r="G3" s="112">
        <f>RESUMO!$H$5</f>
        <v>0.2882</v>
      </c>
      <c r="H3" s="194" t="s">
        <v>198</v>
      </c>
      <c r="I3" s="195"/>
      <c r="J3" s="116"/>
      <c r="N3" s="148">
        <f>RESUMO!$H$5</f>
        <v>0.2882</v>
      </c>
      <c r="P3" s="92">
        <v>0.3</v>
      </c>
      <c r="U3" s="95"/>
      <c r="V3" s="112">
        <f>RESUMO!$H$5</f>
        <v>0.2882</v>
      </c>
      <c r="Y3" s="112">
        <f>RESUMO!$H$5</f>
        <v>0.2882</v>
      </c>
    </row>
    <row r="4" spans="1:25" ht="19.5" customHeight="1">
      <c r="A4" s="15"/>
      <c r="B4" s="15"/>
      <c r="C4" s="177" t="str">
        <f>RESUMO!$D$6</f>
        <v>ENDEREÇO: SEDE DO MUNICÍPIO DE OUREM/PA</v>
      </c>
      <c r="D4" s="177"/>
      <c r="E4" s="32"/>
      <c r="F4" s="96"/>
      <c r="G4" s="95"/>
      <c r="H4" s="95"/>
      <c r="I4" s="176" t="str">
        <f>RESUMO!$D$8</f>
        <v>DATA: OUTUBRO DE 2023</v>
      </c>
      <c r="J4" s="169"/>
      <c r="K4" s="155">
        <v>1.2882</v>
      </c>
      <c r="N4" s="149"/>
      <c r="U4" s="96"/>
      <c r="V4" s="95"/>
      <c r="X4" s="90">
        <v>1.25</v>
      </c>
      <c r="Y4" s="95"/>
    </row>
    <row r="5" spans="1:25" ht="15" customHeight="1">
      <c r="A5" s="190" t="s">
        <v>40</v>
      </c>
      <c r="B5" s="191"/>
      <c r="C5" s="191"/>
      <c r="D5" s="191"/>
      <c r="E5" s="191"/>
      <c r="F5" s="191"/>
      <c r="G5" s="191"/>
      <c r="H5" s="191"/>
      <c r="I5" s="191"/>
      <c r="J5" s="191"/>
      <c r="N5" s="146"/>
      <c r="U5"/>
      <c r="V5"/>
      <c r="Y5"/>
    </row>
    <row r="6" spans="1:26" ht="30" customHeight="1">
      <c r="A6" s="35" t="s">
        <v>2</v>
      </c>
      <c r="B6" s="36" t="s">
        <v>3</v>
      </c>
      <c r="C6" s="35" t="s">
        <v>4</v>
      </c>
      <c r="D6" s="1" t="s">
        <v>5</v>
      </c>
      <c r="E6" s="2" t="s">
        <v>6</v>
      </c>
      <c r="F6" s="97" t="s">
        <v>7</v>
      </c>
      <c r="G6" s="97" t="s">
        <v>8</v>
      </c>
      <c r="H6" s="97" t="s">
        <v>9</v>
      </c>
      <c r="I6" s="97" t="s">
        <v>10</v>
      </c>
      <c r="J6" s="87" t="s">
        <v>11</v>
      </c>
      <c r="M6" s="92" t="s">
        <v>7</v>
      </c>
      <c r="N6" s="152" t="s">
        <v>197</v>
      </c>
      <c r="P6" s="92" t="s">
        <v>8</v>
      </c>
      <c r="U6" s="97" t="s">
        <v>7</v>
      </c>
      <c r="V6" s="97" t="s">
        <v>8</v>
      </c>
      <c r="Y6" s="97" t="s">
        <v>8</v>
      </c>
      <c r="Z6">
        <f>SUM(Y21*150%)</f>
        <v>4237.755</v>
      </c>
    </row>
    <row r="7" spans="1:25" ht="20.1" customHeight="1">
      <c r="A7" s="37" t="s">
        <v>12</v>
      </c>
      <c r="B7" s="37"/>
      <c r="C7" s="37"/>
      <c r="D7" s="3" t="s">
        <v>13</v>
      </c>
      <c r="E7" s="3"/>
      <c r="F7" s="98"/>
      <c r="G7" s="101"/>
      <c r="H7" s="101"/>
      <c r="I7" s="4">
        <f>SUM(I8:I10)</f>
        <v>10772.22</v>
      </c>
      <c r="J7" s="88">
        <f aca="true" t="shared" si="0" ref="J7:J38">I7/$H$79</f>
        <v>0.06035377503976393</v>
      </c>
      <c r="K7" s="155">
        <f>J7</f>
        <v>0.06035377503976393</v>
      </c>
      <c r="N7" s="153">
        <f>SUM(N8:N10)</f>
        <v>8362.06</v>
      </c>
      <c r="U7" s="98"/>
      <c r="V7" s="101"/>
      <c r="Y7" s="101"/>
    </row>
    <row r="8" spans="1:26" ht="15" customHeight="1">
      <c r="A8" s="38" t="s">
        <v>14</v>
      </c>
      <c r="B8" s="39">
        <v>11171</v>
      </c>
      <c r="C8" s="38" t="s">
        <v>15</v>
      </c>
      <c r="D8" s="5" t="s">
        <v>85</v>
      </c>
      <c r="E8" s="91" t="s">
        <v>88</v>
      </c>
      <c r="F8" s="99">
        <v>1</v>
      </c>
      <c r="G8" s="108">
        <v>6557.38</v>
      </c>
      <c r="H8" s="108">
        <f>ROUND((G8*$K$4),2)</f>
        <v>8447.22</v>
      </c>
      <c r="I8" s="7">
        <f>F8*H8</f>
        <v>8447.22</v>
      </c>
      <c r="J8" s="88">
        <f t="shared" si="0"/>
        <v>0.047327441844985954</v>
      </c>
      <c r="L8" s="92">
        <f>G8</f>
        <v>6557.38</v>
      </c>
      <c r="M8" s="92">
        <f>F8</f>
        <v>1</v>
      </c>
      <c r="N8" s="108">
        <f>SUM(M8*L8)</f>
        <v>6557.38</v>
      </c>
      <c r="O8" s="92" t="e">
        <f>#REF!*N8</f>
        <v>#REF!</v>
      </c>
      <c r="P8" s="92">
        <v>173.45</v>
      </c>
      <c r="Q8" s="92">
        <f aca="true" t="shared" si="1" ref="Q8:Q13">M8*P8</f>
        <v>173.45</v>
      </c>
      <c r="R8" s="92">
        <v>225.48499999999999</v>
      </c>
      <c r="S8" s="92">
        <f aca="true" t="shared" si="2" ref="S8:S13">M8*R8</f>
        <v>225.48499999999999</v>
      </c>
      <c r="U8" s="99">
        <v>1</v>
      </c>
      <c r="V8" s="7">
        <v>6158.29</v>
      </c>
      <c r="W8">
        <f>U8*V8</f>
        <v>6158.29</v>
      </c>
      <c r="Y8" s="7">
        <v>4250</v>
      </c>
      <c r="Z8">
        <f>F8*G8</f>
        <v>6557.38</v>
      </c>
    </row>
    <row r="9" spans="1:26" ht="15" customHeight="1">
      <c r="A9" s="38" t="s">
        <v>83</v>
      </c>
      <c r="B9" s="39">
        <v>11340</v>
      </c>
      <c r="C9" s="38" t="s">
        <v>15</v>
      </c>
      <c r="D9" s="5" t="s">
        <v>16</v>
      </c>
      <c r="E9" s="91" t="s">
        <v>81</v>
      </c>
      <c r="F9" s="99">
        <v>6</v>
      </c>
      <c r="G9" s="108">
        <v>181.18</v>
      </c>
      <c r="H9" s="108">
        <f>ROUND((G9*$K$4),2)</f>
        <v>233.4</v>
      </c>
      <c r="I9" s="7">
        <f>F9*H9</f>
        <v>1400.4</v>
      </c>
      <c r="J9" s="88">
        <f t="shared" si="0"/>
        <v>0.007846054626222395</v>
      </c>
      <c r="L9" s="92">
        <f aca="true" t="shared" si="3" ref="L9:L69">G9</f>
        <v>181.18</v>
      </c>
      <c r="M9" s="92">
        <f aca="true" t="shared" si="4" ref="M9:M69">F9</f>
        <v>6</v>
      </c>
      <c r="N9" s="108">
        <f>SUM(M9*L9)</f>
        <v>1087.08</v>
      </c>
      <c r="O9" s="92" t="e">
        <f>#REF!*N9</f>
        <v>#REF!</v>
      </c>
      <c r="P9" s="92">
        <v>173.45</v>
      </c>
      <c r="Q9" s="92">
        <f t="shared" si="1"/>
        <v>1040.6999999999998</v>
      </c>
      <c r="R9" s="92">
        <v>225.48499999999999</v>
      </c>
      <c r="S9" s="92">
        <f t="shared" si="2"/>
        <v>1352.9099999999999</v>
      </c>
      <c r="U9" s="99">
        <v>6</v>
      </c>
      <c r="V9" s="7">
        <v>173.45</v>
      </c>
      <c r="W9">
        <f aca="true" t="shared" si="5" ref="W9:W21">U9*V9</f>
        <v>1040.6999999999998</v>
      </c>
      <c r="Y9" s="7">
        <v>173.45</v>
      </c>
      <c r="Z9">
        <f>F9*G9</f>
        <v>1087.08</v>
      </c>
    </row>
    <row r="10" spans="1:26" ht="15" customHeight="1">
      <c r="A10" s="38" t="s">
        <v>84</v>
      </c>
      <c r="B10" s="39">
        <v>10786</v>
      </c>
      <c r="C10" s="38" t="s">
        <v>15</v>
      </c>
      <c r="D10" s="5" t="s">
        <v>86</v>
      </c>
      <c r="E10" s="91" t="s">
        <v>87</v>
      </c>
      <c r="F10" s="99">
        <v>60</v>
      </c>
      <c r="G10" s="108">
        <v>11.96</v>
      </c>
      <c r="H10" s="108">
        <f>ROUND((G10*$K$4),2)</f>
        <v>15.41</v>
      </c>
      <c r="I10" s="7">
        <f>F10*H10</f>
        <v>924.6</v>
      </c>
      <c r="J10" s="88">
        <f t="shared" si="0"/>
        <v>0.005180278568555574</v>
      </c>
      <c r="L10" s="92">
        <f t="shared" si="3"/>
        <v>11.96</v>
      </c>
      <c r="M10" s="92">
        <f t="shared" si="4"/>
        <v>60</v>
      </c>
      <c r="N10" s="108">
        <f>SUM(M10*L10)</f>
        <v>717.6</v>
      </c>
      <c r="O10" s="92" t="e">
        <f>#REF!*N10</f>
        <v>#REF!</v>
      </c>
      <c r="P10" s="92">
        <v>173.45</v>
      </c>
      <c r="Q10" s="92">
        <f t="shared" si="1"/>
        <v>10407</v>
      </c>
      <c r="R10" s="92">
        <v>225.48499999999999</v>
      </c>
      <c r="S10" s="92">
        <f t="shared" si="2"/>
        <v>13529.099999999999</v>
      </c>
      <c r="U10" s="99">
        <v>65.6</v>
      </c>
      <c r="V10" s="7">
        <v>11.36</v>
      </c>
      <c r="W10">
        <f t="shared" si="5"/>
        <v>745.2159999999999</v>
      </c>
      <c r="Y10" s="7">
        <v>11.36</v>
      </c>
      <c r="Z10">
        <f>F10*G10</f>
        <v>717.6</v>
      </c>
    </row>
    <row r="11" spans="1:25" ht="20.1" customHeight="1">
      <c r="A11" s="37">
        <v>2</v>
      </c>
      <c r="B11" s="37"/>
      <c r="C11" s="37"/>
      <c r="D11" s="3" t="s">
        <v>73</v>
      </c>
      <c r="E11" s="3"/>
      <c r="F11" s="98"/>
      <c r="G11" s="101"/>
      <c r="H11" s="101"/>
      <c r="I11" s="4">
        <f>SUM(I12:I13)</f>
        <v>581.34</v>
      </c>
      <c r="J11" s="88">
        <f t="shared" si="0"/>
        <v>0.003257087543850419</v>
      </c>
      <c r="K11" s="155">
        <f>J11</f>
        <v>0.003257087543850419</v>
      </c>
      <c r="L11" s="92"/>
      <c r="N11" s="153">
        <f>SUM(N12:N13)</f>
        <v>451.16999999999996</v>
      </c>
      <c r="O11" s="92" t="e">
        <f>#REF!*N11</f>
        <v>#REF!</v>
      </c>
      <c r="Q11" s="92">
        <f t="shared" si="1"/>
        <v>0</v>
      </c>
      <c r="S11" s="92">
        <f t="shared" si="2"/>
        <v>0</v>
      </c>
      <c r="U11" s="98"/>
      <c r="V11" s="101"/>
      <c r="W11">
        <f t="shared" si="5"/>
        <v>0</v>
      </c>
      <c r="Y11" s="101"/>
    </row>
    <row r="12" spans="1:26" ht="15" customHeight="1">
      <c r="A12" s="38" t="s">
        <v>98</v>
      </c>
      <c r="B12" s="39">
        <v>20235</v>
      </c>
      <c r="C12" s="38" t="s">
        <v>15</v>
      </c>
      <c r="D12" s="5" t="s">
        <v>80</v>
      </c>
      <c r="E12" s="91" t="s">
        <v>81</v>
      </c>
      <c r="F12" s="99">
        <v>6.12</v>
      </c>
      <c r="G12" s="108">
        <v>31.03</v>
      </c>
      <c r="H12" s="108">
        <f>ROUND((G12*$K$4),2)</f>
        <v>39.97</v>
      </c>
      <c r="I12" s="108">
        <f>ROUND((F12*H12),2)</f>
        <v>244.62</v>
      </c>
      <c r="J12" s="88">
        <f t="shared" si="0"/>
        <v>0.0013705383338092846</v>
      </c>
      <c r="L12" s="92">
        <f>G12</f>
        <v>31.03</v>
      </c>
      <c r="M12" s="92">
        <f t="shared" si="4"/>
        <v>6.12</v>
      </c>
      <c r="N12" s="108">
        <f aca="true" t="shared" si="6" ref="N12:N13">SUM(M12*L12)</f>
        <v>189.9036</v>
      </c>
      <c r="O12" s="92" t="e">
        <f>#REF!*N12</f>
        <v>#REF!</v>
      </c>
      <c r="P12" s="92">
        <v>50.91</v>
      </c>
      <c r="Q12" s="92">
        <f t="shared" si="1"/>
        <v>311.56919999999997</v>
      </c>
      <c r="R12" s="92">
        <v>66.18299999999999</v>
      </c>
      <c r="S12" s="92">
        <f t="shared" si="2"/>
        <v>405.03995999999995</v>
      </c>
      <c r="U12" s="99">
        <v>22.56</v>
      </c>
      <c r="V12" s="7">
        <v>50.91</v>
      </c>
      <c r="W12">
        <f t="shared" si="5"/>
        <v>1148.5295999999998</v>
      </c>
      <c r="Y12" s="7">
        <v>5.42</v>
      </c>
      <c r="Z12">
        <f>F12*G12</f>
        <v>189.9036</v>
      </c>
    </row>
    <row r="13" spans="1:26" s="33" customFormat="1" ht="25.5" customHeight="1">
      <c r="A13" s="104" t="s">
        <v>99</v>
      </c>
      <c r="B13" s="105">
        <v>20021</v>
      </c>
      <c r="C13" s="104" t="s">
        <v>15</v>
      </c>
      <c r="D13" s="106" t="s">
        <v>112</v>
      </c>
      <c r="E13" s="114" t="s">
        <v>81</v>
      </c>
      <c r="F13" s="107">
        <v>47.16</v>
      </c>
      <c r="G13" s="108">
        <v>5.54</v>
      </c>
      <c r="H13" s="108">
        <f>ROUND((G13*$K$4),2)</f>
        <v>7.14</v>
      </c>
      <c r="I13" s="108">
        <f>ROUND((F13*H13),2)</f>
        <v>336.72</v>
      </c>
      <c r="J13" s="88">
        <f t="shared" si="0"/>
        <v>0.0018865492100411346</v>
      </c>
      <c r="K13" s="155"/>
      <c r="L13" s="92">
        <f>G13</f>
        <v>5.54</v>
      </c>
      <c r="M13" s="92">
        <f t="shared" si="4"/>
        <v>47.16</v>
      </c>
      <c r="N13" s="108">
        <f t="shared" si="6"/>
        <v>261.2664</v>
      </c>
      <c r="O13" s="115" t="e">
        <f>#REF!*N13</f>
        <v>#REF!</v>
      </c>
      <c r="P13" s="115">
        <v>33.5</v>
      </c>
      <c r="Q13" s="115">
        <f t="shared" si="1"/>
        <v>1579.86</v>
      </c>
      <c r="R13" s="115">
        <v>43.55</v>
      </c>
      <c r="S13" s="115">
        <f t="shared" si="2"/>
        <v>2053.8179999999998</v>
      </c>
      <c r="U13" s="107">
        <v>318.34</v>
      </c>
      <c r="V13" s="108">
        <v>5.99</v>
      </c>
      <c r="W13" s="33">
        <f t="shared" si="5"/>
        <v>1906.8565999999998</v>
      </c>
      <c r="Y13" s="108">
        <v>9.57</v>
      </c>
      <c r="Z13">
        <f>F13*G13</f>
        <v>261.2664</v>
      </c>
    </row>
    <row r="14" spans="1:26" s="33" customFormat="1" ht="25.5" customHeight="1">
      <c r="A14" s="132" t="s">
        <v>18</v>
      </c>
      <c r="B14" s="132"/>
      <c r="C14" s="132"/>
      <c r="D14" s="133" t="s">
        <v>113</v>
      </c>
      <c r="E14" s="133"/>
      <c r="F14" s="134"/>
      <c r="G14" s="135"/>
      <c r="H14" s="135"/>
      <c r="I14" s="136">
        <f>SUM(I15:I16)</f>
        <v>214.6</v>
      </c>
      <c r="J14" s="88">
        <f t="shared" si="0"/>
        <v>0.0012023445606878934</v>
      </c>
      <c r="K14" s="155">
        <f>J14</f>
        <v>0.0012023445606878934</v>
      </c>
      <c r="L14" s="92">
        <f t="shared" si="3"/>
        <v>0</v>
      </c>
      <c r="M14" s="92">
        <f t="shared" si="4"/>
        <v>0</v>
      </c>
      <c r="N14" s="153">
        <f>SUM(N15:N16)</f>
        <v>166.5888</v>
      </c>
      <c r="O14" s="115"/>
      <c r="P14" s="115"/>
      <c r="Q14" s="115"/>
      <c r="R14" s="115"/>
      <c r="S14" s="115"/>
      <c r="U14" s="130"/>
      <c r="V14" s="131"/>
      <c r="Y14" s="131"/>
      <c r="Z14"/>
    </row>
    <row r="15" spans="1:26" s="33" customFormat="1" ht="25.5" customHeight="1">
      <c r="A15" s="126" t="s">
        <v>127</v>
      </c>
      <c r="B15" s="127">
        <v>30010</v>
      </c>
      <c r="C15" s="126" t="s">
        <v>15</v>
      </c>
      <c r="D15" s="128" t="s">
        <v>114</v>
      </c>
      <c r="E15" s="129" t="s">
        <v>82</v>
      </c>
      <c r="F15" s="107">
        <v>1.92</v>
      </c>
      <c r="G15" s="108">
        <v>78.8</v>
      </c>
      <c r="H15" s="108">
        <f>ROUND((G15*$K$4),2)</f>
        <v>101.51</v>
      </c>
      <c r="I15" s="108">
        <f>ROUND((F15*H15),2)</f>
        <v>194.9</v>
      </c>
      <c r="J15" s="88">
        <f t="shared" si="0"/>
        <v>0.0010919708987794522</v>
      </c>
      <c r="K15" s="155"/>
      <c r="L15" s="92">
        <f t="shared" si="3"/>
        <v>78.8</v>
      </c>
      <c r="M15" s="92">
        <f t="shared" si="4"/>
        <v>1.92</v>
      </c>
      <c r="N15" s="108">
        <f>SUM(M15*L15)</f>
        <v>151.296</v>
      </c>
      <c r="O15" s="115"/>
      <c r="P15" s="115"/>
      <c r="Q15" s="115"/>
      <c r="R15" s="115"/>
      <c r="S15" s="115"/>
      <c r="U15" s="130"/>
      <c r="V15" s="131"/>
      <c r="Y15" s="131"/>
      <c r="Z15"/>
    </row>
    <row r="16" spans="1:26" s="33" customFormat="1" ht="25.5" customHeight="1">
      <c r="A16" s="126" t="s">
        <v>128</v>
      </c>
      <c r="B16" s="127">
        <v>30254</v>
      </c>
      <c r="C16" s="126" t="s">
        <v>15</v>
      </c>
      <c r="D16" s="128" t="s">
        <v>115</v>
      </c>
      <c r="E16" s="129" t="s">
        <v>82</v>
      </c>
      <c r="F16" s="107">
        <v>0.96</v>
      </c>
      <c r="G16" s="108">
        <v>15.93</v>
      </c>
      <c r="H16" s="108">
        <f>ROUND((G16*$K$4),2)</f>
        <v>20.52</v>
      </c>
      <c r="I16" s="108">
        <f>ROUND((F16*H16),2)</f>
        <v>19.7</v>
      </c>
      <c r="J16" s="88">
        <f t="shared" si="0"/>
        <v>0.00011037366190844127</v>
      </c>
      <c r="K16" s="155"/>
      <c r="L16" s="92">
        <f t="shared" si="3"/>
        <v>15.93</v>
      </c>
      <c r="M16" s="92">
        <f t="shared" si="4"/>
        <v>0.96</v>
      </c>
      <c r="N16" s="108">
        <f>SUM(M16*L16)</f>
        <v>15.2928</v>
      </c>
      <c r="O16" s="115"/>
      <c r="P16" s="115"/>
      <c r="Q16" s="115"/>
      <c r="R16" s="115"/>
      <c r="S16" s="115"/>
      <c r="U16" s="130"/>
      <c r="V16" s="131"/>
      <c r="Y16" s="131"/>
      <c r="Z16"/>
    </row>
    <row r="17" spans="1:26" s="33" customFormat="1" ht="25.5" customHeight="1">
      <c r="A17" s="132">
        <v>4</v>
      </c>
      <c r="B17" s="132"/>
      <c r="C17" s="132"/>
      <c r="D17" s="133" t="s">
        <v>116</v>
      </c>
      <c r="E17" s="133"/>
      <c r="F17" s="134"/>
      <c r="G17" s="135"/>
      <c r="H17" s="135"/>
      <c r="I17" s="136">
        <f>SUM(I18:I19)</f>
        <v>8241.93</v>
      </c>
      <c r="J17" s="88">
        <f t="shared" si="0"/>
        <v>0.046177258644316724</v>
      </c>
      <c r="K17" s="155">
        <f>J17</f>
        <v>0.046177258644316724</v>
      </c>
      <c r="L17" s="92">
        <f t="shared" si="3"/>
        <v>0</v>
      </c>
      <c r="M17" s="92">
        <f t="shared" si="4"/>
        <v>0</v>
      </c>
      <c r="N17" s="153">
        <f>SUM(N18:N19)</f>
        <v>6398.0133000000005</v>
      </c>
      <c r="O17" s="115"/>
      <c r="P17" s="115"/>
      <c r="Q17" s="115"/>
      <c r="R17" s="115"/>
      <c r="S17" s="115"/>
      <c r="U17" s="130"/>
      <c r="V17" s="131"/>
      <c r="Y17" s="131"/>
      <c r="Z17"/>
    </row>
    <row r="18" spans="1:26" s="33" customFormat="1" ht="25.5" customHeight="1">
      <c r="A18" s="126" t="s">
        <v>129</v>
      </c>
      <c r="B18" s="127">
        <v>40285</v>
      </c>
      <c r="C18" s="126" t="s">
        <v>15</v>
      </c>
      <c r="D18" s="128" t="s">
        <v>117</v>
      </c>
      <c r="E18" s="129" t="s">
        <v>82</v>
      </c>
      <c r="F18" s="107">
        <v>1.77</v>
      </c>
      <c r="G18" s="108">
        <v>1721.81</v>
      </c>
      <c r="H18" s="108">
        <f>ROUND((G18*$K$4),2)</f>
        <v>2218.04</v>
      </c>
      <c r="I18" s="108">
        <f>ROUND((F18*H18),2)</f>
        <v>3925.93</v>
      </c>
      <c r="J18" s="88">
        <f t="shared" si="0"/>
        <v>0.021995902055645018</v>
      </c>
      <c r="K18" s="155"/>
      <c r="L18" s="92">
        <f t="shared" si="3"/>
        <v>1721.81</v>
      </c>
      <c r="M18" s="92">
        <f t="shared" si="4"/>
        <v>1.77</v>
      </c>
      <c r="N18" s="108">
        <f>SUM(M18*L18)</f>
        <v>3047.6037</v>
      </c>
      <c r="O18" s="115"/>
      <c r="P18" s="115"/>
      <c r="Q18" s="115"/>
      <c r="R18" s="115"/>
      <c r="S18" s="115"/>
      <c r="U18" s="130"/>
      <c r="V18" s="131"/>
      <c r="Y18" s="131"/>
      <c r="Z18"/>
    </row>
    <row r="19" spans="1:26" s="33" customFormat="1" ht="25.5" customHeight="1">
      <c r="A19" s="126" t="s">
        <v>100</v>
      </c>
      <c r="B19" s="127">
        <v>40283</v>
      </c>
      <c r="C19" s="126" t="s">
        <v>15</v>
      </c>
      <c r="D19" s="128" t="s">
        <v>118</v>
      </c>
      <c r="E19" s="129" t="s">
        <v>82</v>
      </c>
      <c r="F19" s="107">
        <v>0.96</v>
      </c>
      <c r="G19" s="108">
        <v>3490.01</v>
      </c>
      <c r="H19" s="108">
        <f>ROUND((G19*$K$4),2)</f>
        <v>4495.83</v>
      </c>
      <c r="I19" s="108">
        <f>ROUND((F19*H19),2)</f>
        <v>4316</v>
      </c>
      <c r="J19" s="88">
        <f t="shared" si="0"/>
        <v>0.024181356588671706</v>
      </c>
      <c r="K19" s="155"/>
      <c r="L19" s="92">
        <f t="shared" si="3"/>
        <v>3490.01</v>
      </c>
      <c r="M19" s="92">
        <f t="shared" si="4"/>
        <v>0.96</v>
      </c>
      <c r="N19" s="108">
        <f>SUM(M19*L19)</f>
        <v>3350.4096</v>
      </c>
      <c r="O19" s="115"/>
      <c r="P19" s="115"/>
      <c r="Q19" s="115"/>
      <c r="R19" s="115"/>
      <c r="S19" s="115"/>
      <c r="U19" s="130"/>
      <c r="V19" s="131"/>
      <c r="Y19" s="131"/>
      <c r="Z19"/>
    </row>
    <row r="20" spans="1:25" ht="20.1" customHeight="1">
      <c r="A20" s="132">
        <v>5</v>
      </c>
      <c r="B20" s="132"/>
      <c r="C20" s="132"/>
      <c r="D20" s="133" t="s">
        <v>74</v>
      </c>
      <c r="E20" s="133"/>
      <c r="F20" s="134"/>
      <c r="G20" s="135"/>
      <c r="H20" s="135"/>
      <c r="I20" s="136">
        <f>SUM(I21:I22)</f>
        <v>15225.019999999999</v>
      </c>
      <c r="J20" s="88">
        <f t="shared" si="0"/>
        <v>0.0853015842654445</v>
      </c>
      <c r="K20" s="155">
        <f>J20</f>
        <v>0.0853015842654445</v>
      </c>
      <c r="L20" s="92">
        <f t="shared" si="3"/>
        <v>0</v>
      </c>
      <c r="M20" s="92">
        <f t="shared" si="4"/>
        <v>0</v>
      </c>
      <c r="N20" s="153">
        <f>SUM(N21:N22)</f>
        <v>11818.819300000001</v>
      </c>
      <c r="O20" s="92" t="e">
        <f>#REF!*N20</f>
        <v>#REF!</v>
      </c>
      <c r="Q20" s="92">
        <f>M20*P20</f>
        <v>0</v>
      </c>
      <c r="S20" s="92">
        <f>M20*R20</f>
        <v>0</v>
      </c>
      <c r="U20" s="98"/>
      <c r="V20" s="101"/>
      <c r="W20">
        <f t="shared" si="5"/>
        <v>0</v>
      </c>
      <c r="Y20" s="101"/>
    </row>
    <row r="21" spans="1:26" s="33" customFormat="1" ht="24.95" customHeight="1">
      <c r="A21" s="104" t="s">
        <v>101</v>
      </c>
      <c r="B21" s="105">
        <v>50681</v>
      </c>
      <c r="C21" s="104" t="s">
        <v>15</v>
      </c>
      <c r="D21" s="106" t="s">
        <v>119</v>
      </c>
      <c r="E21" s="114" t="s">
        <v>82</v>
      </c>
      <c r="F21" s="107">
        <v>2.66</v>
      </c>
      <c r="G21" s="108">
        <v>3776.73</v>
      </c>
      <c r="H21" s="108">
        <f>ROUND((G21*$K$4),2)</f>
        <v>4865.18</v>
      </c>
      <c r="I21" s="108">
        <f>ROUND((F21*H21),2)</f>
        <v>12941.38</v>
      </c>
      <c r="J21" s="88">
        <f t="shared" si="0"/>
        <v>0.07250697973343471</v>
      </c>
      <c r="K21" s="155"/>
      <c r="L21" s="92">
        <f t="shared" si="3"/>
        <v>3776.73</v>
      </c>
      <c r="M21" s="92">
        <f t="shared" si="4"/>
        <v>2.66</v>
      </c>
      <c r="N21" s="108">
        <f>SUM(M21*L21)</f>
        <v>10046.1018</v>
      </c>
      <c r="O21" s="115" t="e">
        <f>#REF!*N21</f>
        <v>#REF!</v>
      </c>
      <c r="P21" s="115">
        <v>3100.73</v>
      </c>
      <c r="Q21" s="115">
        <f>M21*P21</f>
        <v>8247.9418</v>
      </c>
      <c r="R21" s="115">
        <v>4030.949</v>
      </c>
      <c r="S21" s="115">
        <f>M21*R21</f>
        <v>10722.324340000001</v>
      </c>
      <c r="U21" s="107">
        <v>2.45</v>
      </c>
      <c r="V21" s="108">
        <v>2876.17</v>
      </c>
      <c r="W21">
        <f t="shared" si="5"/>
        <v>7046.616500000001</v>
      </c>
      <c r="Y21" s="108">
        <v>2825.17</v>
      </c>
      <c r="Z21" s="33">
        <f>F21*G21</f>
        <v>10046.1018</v>
      </c>
    </row>
    <row r="22" spans="1:25" s="33" customFormat="1" ht="24.95" customHeight="1">
      <c r="A22" s="104" t="s">
        <v>102</v>
      </c>
      <c r="B22" s="105">
        <v>50713</v>
      </c>
      <c r="C22" s="104" t="s">
        <v>15</v>
      </c>
      <c r="D22" s="106" t="s">
        <v>120</v>
      </c>
      <c r="E22" s="114" t="s">
        <v>81</v>
      </c>
      <c r="F22" s="107">
        <v>13.25</v>
      </c>
      <c r="G22" s="108">
        <v>133.79</v>
      </c>
      <c r="H22" s="108">
        <f>ROUND((G22*$K$4),2)</f>
        <v>172.35</v>
      </c>
      <c r="I22" s="108">
        <f>ROUND((F22*H22),2)</f>
        <v>2283.64</v>
      </c>
      <c r="J22" s="88">
        <f t="shared" si="0"/>
        <v>0.012794604532009788</v>
      </c>
      <c r="K22" s="155"/>
      <c r="L22" s="92">
        <f t="shared" si="3"/>
        <v>133.79</v>
      </c>
      <c r="M22" s="92">
        <f t="shared" si="4"/>
        <v>13.25</v>
      </c>
      <c r="N22" s="108">
        <f>SUM(M22*L22)</f>
        <v>1772.7175</v>
      </c>
      <c r="O22" s="115"/>
      <c r="P22" s="115"/>
      <c r="Q22" s="115"/>
      <c r="R22" s="115"/>
      <c r="S22" s="115"/>
      <c r="U22" s="130"/>
      <c r="V22" s="131"/>
      <c r="W22"/>
      <c r="Y22" s="131"/>
    </row>
    <row r="23" spans="1:25" s="33" customFormat="1" ht="24.95" customHeight="1">
      <c r="A23" s="132">
        <v>6</v>
      </c>
      <c r="B23" s="132"/>
      <c r="C23" s="132"/>
      <c r="D23" s="133" t="s">
        <v>121</v>
      </c>
      <c r="E23" s="133"/>
      <c r="F23" s="134"/>
      <c r="G23" s="135"/>
      <c r="H23" s="135"/>
      <c r="I23" s="136">
        <f>SUM(I24:I24)</f>
        <v>11453.37</v>
      </c>
      <c r="J23" s="88">
        <f t="shared" si="0"/>
        <v>0.06417007046153728</v>
      </c>
      <c r="K23" s="155">
        <f>J23</f>
        <v>0.06417007046153728</v>
      </c>
      <c r="L23" s="92">
        <f t="shared" si="3"/>
        <v>0</v>
      </c>
      <c r="M23" s="92">
        <f t="shared" si="4"/>
        <v>0</v>
      </c>
      <c r="N23" s="153">
        <f>SUM(N24:N24)</f>
        <v>8891.0304</v>
      </c>
      <c r="O23" s="115"/>
      <c r="P23" s="115"/>
      <c r="Q23" s="115"/>
      <c r="R23" s="115"/>
      <c r="S23" s="115"/>
      <c r="U23" s="130"/>
      <c r="V23" s="131"/>
      <c r="W23"/>
      <c r="Y23" s="131"/>
    </row>
    <row r="24" spans="1:25" s="33" customFormat="1" ht="24.95" customHeight="1">
      <c r="A24" s="126" t="s">
        <v>103</v>
      </c>
      <c r="B24" s="127">
        <v>60045</v>
      </c>
      <c r="C24" s="126" t="s">
        <v>15</v>
      </c>
      <c r="D24" s="33" t="s">
        <v>122</v>
      </c>
      <c r="E24" s="129" t="s">
        <v>81</v>
      </c>
      <c r="F24" s="107">
        <v>68.88</v>
      </c>
      <c r="G24" s="108">
        <v>129.08</v>
      </c>
      <c r="H24" s="108">
        <f>ROUND((G24*$K$4),2)</f>
        <v>166.28</v>
      </c>
      <c r="I24" s="108">
        <f>ROUND((F24*H24),2)</f>
        <v>11453.37</v>
      </c>
      <c r="J24" s="88">
        <f t="shared" si="0"/>
        <v>0.06417007046153728</v>
      </c>
      <c r="K24" s="155"/>
      <c r="L24" s="92">
        <f t="shared" si="3"/>
        <v>129.08</v>
      </c>
      <c r="M24" s="92">
        <f t="shared" si="4"/>
        <v>68.88</v>
      </c>
      <c r="N24" s="108">
        <f>SUM(M24*L24)</f>
        <v>8891.0304</v>
      </c>
      <c r="O24" s="115"/>
      <c r="P24" s="115"/>
      <c r="Q24" s="115"/>
      <c r="R24" s="115"/>
      <c r="S24" s="115"/>
      <c r="U24" s="130"/>
      <c r="V24" s="131"/>
      <c r="W24"/>
      <c r="Y24" s="131"/>
    </row>
    <row r="25" spans="1:25" s="33" customFormat="1" ht="24.95" customHeight="1">
      <c r="A25" s="132">
        <v>7</v>
      </c>
      <c r="B25" s="132"/>
      <c r="C25" s="132"/>
      <c r="D25" s="133" t="s">
        <v>123</v>
      </c>
      <c r="E25" s="133"/>
      <c r="F25" s="134"/>
      <c r="G25" s="135"/>
      <c r="H25" s="135"/>
      <c r="I25" s="136">
        <f>SUM(I26:I29)</f>
        <v>21776.21</v>
      </c>
      <c r="J25" s="88">
        <f t="shared" si="0"/>
        <v>0.12200609341051868</v>
      </c>
      <c r="K25" s="155">
        <f>J25</f>
        <v>0.12200609341051868</v>
      </c>
      <c r="L25" s="92">
        <f t="shared" si="3"/>
        <v>0</v>
      </c>
      <c r="M25" s="92">
        <f t="shared" si="4"/>
        <v>0</v>
      </c>
      <c r="N25" s="153">
        <f>SUM(N26:N29)</f>
        <v>16904.395999999997</v>
      </c>
      <c r="O25" s="115"/>
      <c r="P25" s="115"/>
      <c r="Q25" s="115"/>
      <c r="R25" s="115"/>
      <c r="S25" s="115"/>
      <c r="U25" s="130"/>
      <c r="V25" s="131"/>
      <c r="W25"/>
      <c r="Y25" s="131"/>
    </row>
    <row r="26" spans="1:25" s="33" customFormat="1" ht="24.95" customHeight="1">
      <c r="A26" s="126" t="s">
        <v>104</v>
      </c>
      <c r="B26" s="127">
        <v>70308</v>
      </c>
      <c r="C26" s="126" t="s">
        <v>15</v>
      </c>
      <c r="D26" s="33" t="s">
        <v>124</v>
      </c>
      <c r="E26" s="129" t="s">
        <v>81</v>
      </c>
      <c r="F26" s="107">
        <v>68.6</v>
      </c>
      <c r="G26" s="108">
        <v>90.31</v>
      </c>
      <c r="H26" s="108">
        <f>ROUND((G26*$K$4),2)</f>
        <v>116.34</v>
      </c>
      <c r="I26" s="108">
        <f>ROUND((F26*H26),2)</f>
        <v>7980.92</v>
      </c>
      <c r="J26" s="88">
        <f t="shared" si="0"/>
        <v>0.0447148916648892</v>
      </c>
      <c r="K26" s="155"/>
      <c r="L26" s="92">
        <f t="shared" si="3"/>
        <v>90.31</v>
      </c>
      <c r="M26" s="92">
        <f t="shared" si="4"/>
        <v>68.6</v>
      </c>
      <c r="N26" s="108">
        <f>SUM(M26*L26)</f>
        <v>6195.266</v>
      </c>
      <c r="O26" s="115"/>
      <c r="P26" s="115"/>
      <c r="Q26" s="115"/>
      <c r="R26" s="115"/>
      <c r="S26" s="115"/>
      <c r="U26" s="130"/>
      <c r="V26" s="131"/>
      <c r="W26"/>
      <c r="Y26" s="131"/>
    </row>
    <row r="27" spans="1:25" s="33" customFormat="1" ht="24.95" customHeight="1">
      <c r="A27" s="126" t="s">
        <v>105</v>
      </c>
      <c r="B27" s="127">
        <v>70053</v>
      </c>
      <c r="C27" s="126" t="s">
        <v>15</v>
      </c>
      <c r="D27" s="128" t="s">
        <v>125</v>
      </c>
      <c r="E27" s="129" t="s">
        <v>81</v>
      </c>
      <c r="F27" s="107">
        <v>68.6</v>
      </c>
      <c r="G27" s="108">
        <v>66.27</v>
      </c>
      <c r="H27" s="108">
        <f>ROUND((G27*$K$4),2)</f>
        <v>85.37</v>
      </c>
      <c r="I27" s="108">
        <f>ROUND((F27*H27),2)</f>
        <v>5856.38</v>
      </c>
      <c r="J27" s="88">
        <f t="shared" si="0"/>
        <v>0.03281168051407905</v>
      </c>
      <c r="K27" s="155"/>
      <c r="L27" s="92">
        <f t="shared" si="3"/>
        <v>66.27</v>
      </c>
      <c r="M27" s="92">
        <f t="shared" si="4"/>
        <v>68.6</v>
      </c>
      <c r="N27" s="108">
        <f>SUM(M27*L27)</f>
        <v>4546.121999999999</v>
      </c>
      <c r="O27" s="115"/>
      <c r="P27" s="115"/>
      <c r="Q27" s="115"/>
      <c r="R27" s="115"/>
      <c r="S27" s="115"/>
      <c r="U27" s="130"/>
      <c r="V27" s="131"/>
      <c r="W27"/>
      <c r="Y27" s="131"/>
    </row>
    <row r="28" spans="1:25" s="33" customFormat="1" ht="24.95" customHeight="1">
      <c r="A28" s="126" t="s">
        <v>106</v>
      </c>
      <c r="B28" s="127">
        <v>70047</v>
      </c>
      <c r="C28" s="126" t="s">
        <v>15</v>
      </c>
      <c r="D28" s="128" t="s">
        <v>126</v>
      </c>
      <c r="E28" s="129" t="s">
        <v>81</v>
      </c>
      <c r="F28" s="107">
        <v>68.6</v>
      </c>
      <c r="G28" s="108">
        <v>73.4</v>
      </c>
      <c r="H28" s="108">
        <f aca="true" t="shared" si="7" ref="H28:H29">ROUND((G28*$K$4),2)</f>
        <v>94.55</v>
      </c>
      <c r="I28" s="108">
        <f aca="true" t="shared" si="8" ref="I28:I29">ROUND((F28*H28),2)</f>
        <v>6486.13</v>
      </c>
      <c r="J28" s="88">
        <f t="shared" si="0"/>
        <v>0.036339995924578594</v>
      </c>
      <c r="K28" s="155"/>
      <c r="L28" s="92">
        <f t="shared" si="3"/>
        <v>73.4</v>
      </c>
      <c r="M28" s="92">
        <f t="shared" si="4"/>
        <v>68.6</v>
      </c>
      <c r="N28" s="108">
        <f>SUM(M28*L28)</f>
        <v>5035.24</v>
      </c>
      <c r="O28" s="115"/>
      <c r="P28" s="115"/>
      <c r="Q28" s="115"/>
      <c r="R28" s="115"/>
      <c r="S28" s="115"/>
      <c r="U28" s="130"/>
      <c r="V28" s="131"/>
      <c r="W28"/>
      <c r="Y28" s="131"/>
    </row>
    <row r="29" spans="1:25" s="33" customFormat="1" ht="24.95" customHeight="1">
      <c r="A29" s="126" t="s">
        <v>107</v>
      </c>
      <c r="B29" s="127">
        <v>70277</v>
      </c>
      <c r="C29" s="126" t="s">
        <v>15</v>
      </c>
      <c r="D29" s="128" t="s">
        <v>130</v>
      </c>
      <c r="E29" s="129" t="s">
        <v>21</v>
      </c>
      <c r="F29" s="107">
        <v>12.2</v>
      </c>
      <c r="G29" s="144">
        <v>92.44</v>
      </c>
      <c r="H29" s="108">
        <f t="shared" si="7"/>
        <v>119.08</v>
      </c>
      <c r="I29" s="108">
        <f t="shared" si="8"/>
        <v>1452.78</v>
      </c>
      <c r="J29" s="88">
        <f t="shared" si="0"/>
        <v>0.008139525306971844</v>
      </c>
      <c r="K29" s="155"/>
      <c r="L29" s="92">
        <f t="shared" si="3"/>
        <v>92.44</v>
      </c>
      <c r="M29" s="92">
        <f t="shared" si="4"/>
        <v>12.2</v>
      </c>
      <c r="N29" s="108">
        <f>SUM(M29*L29)</f>
        <v>1127.7679999999998</v>
      </c>
      <c r="O29" s="115"/>
      <c r="P29" s="115"/>
      <c r="Q29" s="115"/>
      <c r="R29" s="115"/>
      <c r="S29" s="115"/>
      <c r="U29" s="130"/>
      <c r="V29" s="131"/>
      <c r="W29"/>
      <c r="Y29" s="131"/>
    </row>
    <row r="30" spans="1:25" s="33" customFormat="1" ht="24.95" customHeight="1">
      <c r="A30" s="161">
        <v>8</v>
      </c>
      <c r="B30" s="132"/>
      <c r="C30" s="132"/>
      <c r="D30" s="133" t="s">
        <v>76</v>
      </c>
      <c r="E30" s="133"/>
      <c r="F30" s="134"/>
      <c r="G30" s="135"/>
      <c r="H30" s="135"/>
      <c r="I30" s="136">
        <f>SUM(I31:I34)</f>
        <v>24243.1</v>
      </c>
      <c r="J30" s="88">
        <f t="shared" si="0"/>
        <v>0.13582739710723515</v>
      </c>
      <c r="K30" s="155">
        <f>J30</f>
        <v>0.13582739710723515</v>
      </c>
      <c r="L30" s="92">
        <f t="shared" si="3"/>
        <v>0</v>
      </c>
      <c r="M30" s="92">
        <f t="shared" si="4"/>
        <v>0</v>
      </c>
      <c r="N30" s="153">
        <f>SUM(N31:N34)</f>
        <v>18819.4712</v>
      </c>
      <c r="O30" s="115"/>
      <c r="P30" s="115"/>
      <c r="Q30" s="115"/>
      <c r="R30" s="115"/>
      <c r="S30" s="115"/>
      <c r="U30" s="130"/>
      <c r="V30" s="131"/>
      <c r="W30"/>
      <c r="Y30" s="131"/>
    </row>
    <row r="31" spans="1:25" s="33" customFormat="1" ht="24.95" customHeight="1">
      <c r="A31" s="137" t="s">
        <v>108</v>
      </c>
      <c r="B31" s="105">
        <v>110143</v>
      </c>
      <c r="C31" s="104" t="s">
        <v>15</v>
      </c>
      <c r="D31" s="106" t="s">
        <v>90</v>
      </c>
      <c r="E31" s="114" t="s">
        <v>81</v>
      </c>
      <c r="F31" s="107">
        <v>68.88</v>
      </c>
      <c r="G31" s="108">
        <v>14.22</v>
      </c>
      <c r="H31" s="108">
        <f aca="true" t="shared" si="9" ref="H31:H33">ROUND((G31*$K$4),2)</f>
        <v>18.32</v>
      </c>
      <c r="I31" s="108">
        <f aca="true" t="shared" si="10" ref="I31:I34">ROUND((F31*H31),2)</f>
        <v>1261.88</v>
      </c>
      <c r="J31" s="88">
        <f t="shared" si="0"/>
        <v>0.007069965304011366</v>
      </c>
      <c r="K31" s="155"/>
      <c r="L31" s="92">
        <f t="shared" si="3"/>
        <v>14.22</v>
      </c>
      <c r="M31" s="92">
        <f t="shared" si="4"/>
        <v>68.88</v>
      </c>
      <c r="N31" s="108">
        <f>SUM(M31*L31)</f>
        <v>979.4736</v>
      </c>
      <c r="O31" s="115"/>
      <c r="P31" s="115"/>
      <c r="Q31" s="115"/>
      <c r="R31" s="115"/>
      <c r="S31" s="115"/>
      <c r="U31" s="130"/>
      <c r="V31" s="131"/>
      <c r="W31"/>
      <c r="Y31" s="131"/>
    </row>
    <row r="32" spans="1:25" s="33" customFormat="1" ht="24.95" customHeight="1">
      <c r="A32" s="137" t="s">
        <v>109</v>
      </c>
      <c r="B32" s="127">
        <v>110762</v>
      </c>
      <c r="C32" s="104" t="s">
        <v>15</v>
      </c>
      <c r="D32" s="128" t="s">
        <v>133</v>
      </c>
      <c r="E32" s="129" t="s">
        <v>81</v>
      </c>
      <c r="F32" s="107">
        <v>47.17</v>
      </c>
      <c r="G32" s="108">
        <v>35.84</v>
      </c>
      <c r="H32" s="108">
        <f aca="true" t="shared" si="11" ref="H32">ROUND((G32*$K$4),2)</f>
        <v>46.17</v>
      </c>
      <c r="I32" s="108">
        <f aca="true" t="shared" si="12" ref="I32">ROUND((F32*H32),2)</f>
        <v>2177.84</v>
      </c>
      <c r="J32" s="88">
        <f t="shared" si="0"/>
        <v>0.012201836337597959</v>
      </c>
      <c r="K32" s="155"/>
      <c r="L32" s="92">
        <f t="shared" si="3"/>
        <v>35.84</v>
      </c>
      <c r="M32" s="92">
        <f t="shared" si="4"/>
        <v>47.17</v>
      </c>
      <c r="N32" s="108">
        <f>SUM(M32*L32)</f>
        <v>1690.5728000000001</v>
      </c>
      <c r="O32" s="115"/>
      <c r="P32" s="115"/>
      <c r="Q32" s="115"/>
      <c r="R32" s="115"/>
      <c r="S32" s="115"/>
      <c r="U32" s="130"/>
      <c r="V32" s="131"/>
      <c r="W32"/>
      <c r="Y32" s="131"/>
    </row>
    <row r="33" spans="1:25" s="33" customFormat="1" ht="24.95" customHeight="1">
      <c r="A33" s="137" t="s">
        <v>131</v>
      </c>
      <c r="B33" s="105">
        <v>110763</v>
      </c>
      <c r="C33" s="104" t="s">
        <v>15</v>
      </c>
      <c r="D33" s="106" t="s">
        <v>77</v>
      </c>
      <c r="E33" s="114" t="s">
        <v>81</v>
      </c>
      <c r="F33" s="107">
        <v>68.88</v>
      </c>
      <c r="G33" s="108">
        <v>41.86</v>
      </c>
      <c r="H33" s="108">
        <f t="shared" si="9"/>
        <v>53.92</v>
      </c>
      <c r="I33" s="108">
        <f t="shared" si="10"/>
        <v>3714.01</v>
      </c>
      <c r="J33" s="88">
        <f t="shared" si="0"/>
        <v>0.020808572795155838</v>
      </c>
      <c r="K33" s="155"/>
      <c r="L33" s="92">
        <f t="shared" si="3"/>
        <v>41.86</v>
      </c>
      <c r="M33" s="92">
        <f t="shared" si="4"/>
        <v>68.88</v>
      </c>
      <c r="N33" s="108">
        <f>SUM(M33*L33)</f>
        <v>2883.3167999999996</v>
      </c>
      <c r="O33" s="115"/>
      <c r="P33" s="115"/>
      <c r="Q33" s="115"/>
      <c r="R33" s="115"/>
      <c r="S33" s="115"/>
      <c r="U33" s="130"/>
      <c r="V33" s="131"/>
      <c r="W33"/>
      <c r="Y33" s="131"/>
    </row>
    <row r="34" spans="1:25" s="33" customFormat="1" ht="24.95" customHeight="1">
      <c r="A34" s="137" t="s">
        <v>132</v>
      </c>
      <c r="B34" s="127">
        <v>130759</v>
      </c>
      <c r="C34" s="104" t="s">
        <v>15</v>
      </c>
      <c r="D34" s="128" t="s">
        <v>142</v>
      </c>
      <c r="E34" s="114" t="s">
        <v>81</v>
      </c>
      <c r="F34" s="107">
        <v>47.16</v>
      </c>
      <c r="G34" s="108">
        <v>281.3</v>
      </c>
      <c r="H34" s="108">
        <f>ROUND((G34*$K$4),2)</f>
        <v>362.37</v>
      </c>
      <c r="I34" s="108">
        <f t="shared" si="10"/>
        <v>17089.37</v>
      </c>
      <c r="J34" s="88">
        <f t="shared" si="0"/>
        <v>0.09574702267047</v>
      </c>
      <c r="K34" s="155"/>
      <c r="L34" s="92">
        <f t="shared" si="3"/>
        <v>281.3</v>
      </c>
      <c r="M34" s="92">
        <f t="shared" si="4"/>
        <v>47.16</v>
      </c>
      <c r="N34" s="108">
        <f>SUM(M34*L34)</f>
        <v>13266.108</v>
      </c>
      <c r="O34" s="115"/>
      <c r="P34" s="115"/>
      <c r="Q34" s="115"/>
      <c r="R34" s="115"/>
      <c r="S34" s="115"/>
      <c r="U34" s="130"/>
      <c r="V34" s="131"/>
      <c r="W34"/>
      <c r="Y34" s="131"/>
    </row>
    <row r="35" spans="1:25" s="33" customFormat="1" ht="24.95" customHeight="1">
      <c r="A35" s="161">
        <v>9</v>
      </c>
      <c r="B35" s="132"/>
      <c r="C35" s="132"/>
      <c r="D35" s="133" t="s">
        <v>134</v>
      </c>
      <c r="E35" s="133"/>
      <c r="F35" s="134"/>
      <c r="G35" s="135"/>
      <c r="H35" s="135"/>
      <c r="I35" s="136">
        <f>SUM(I36:I40)</f>
        <v>15025.29</v>
      </c>
      <c r="J35" s="88">
        <f t="shared" si="0"/>
        <v>0.08418255220996365</v>
      </c>
      <c r="K35" s="155">
        <f>J35</f>
        <v>0.08418255220996365</v>
      </c>
      <c r="L35" s="92">
        <f t="shared" si="3"/>
        <v>0</v>
      </c>
      <c r="M35" s="92">
        <f t="shared" si="4"/>
        <v>0</v>
      </c>
      <c r="N35" s="153">
        <f>SUM(N36:N40)</f>
        <v>11664.052599999999</v>
      </c>
      <c r="O35" s="115"/>
      <c r="P35" s="115"/>
      <c r="Q35" s="115"/>
      <c r="R35" s="115"/>
      <c r="S35" s="115"/>
      <c r="U35" s="130"/>
      <c r="V35" s="131"/>
      <c r="W35"/>
      <c r="Y35" s="131"/>
    </row>
    <row r="36" spans="1:25" s="33" customFormat="1" ht="24.95" customHeight="1">
      <c r="A36" s="137" t="s">
        <v>110</v>
      </c>
      <c r="B36" s="127">
        <v>130492</v>
      </c>
      <c r="C36" s="126" t="s">
        <v>15</v>
      </c>
      <c r="D36" s="128" t="s">
        <v>135</v>
      </c>
      <c r="E36" s="129" t="s">
        <v>81</v>
      </c>
      <c r="F36" s="107">
        <v>8.22</v>
      </c>
      <c r="G36" s="108">
        <v>127.52</v>
      </c>
      <c r="H36" s="108">
        <f>ROUND((G36*$K$4),2)</f>
        <v>164.27</v>
      </c>
      <c r="I36" s="108">
        <f aca="true" t="shared" si="13" ref="I36">ROUND((F36*H36),2)</f>
        <v>1350.3</v>
      </c>
      <c r="J36" s="88">
        <f t="shared" si="0"/>
        <v>0.0075653581560897595</v>
      </c>
      <c r="K36" s="155"/>
      <c r="L36" s="92">
        <f t="shared" si="3"/>
        <v>127.52</v>
      </c>
      <c r="M36" s="92">
        <f t="shared" si="4"/>
        <v>8.22</v>
      </c>
      <c r="N36" s="108">
        <f>SUM(M36*L36)</f>
        <v>1048.2144</v>
      </c>
      <c r="O36" s="115"/>
      <c r="P36" s="115"/>
      <c r="Q36" s="115"/>
      <c r="R36" s="115"/>
      <c r="S36" s="115"/>
      <c r="U36" s="130"/>
      <c r="V36" s="131"/>
      <c r="W36"/>
      <c r="Y36" s="131"/>
    </row>
    <row r="37" spans="1:25" s="33" customFormat="1" ht="24.95" customHeight="1">
      <c r="A37" s="137" t="s">
        <v>137</v>
      </c>
      <c r="B37" s="127">
        <v>130507</v>
      </c>
      <c r="C37" s="126" t="s">
        <v>15</v>
      </c>
      <c r="D37" s="128" t="s">
        <v>136</v>
      </c>
      <c r="E37" s="129" t="s">
        <v>81</v>
      </c>
      <c r="F37" s="130">
        <v>36.49</v>
      </c>
      <c r="G37" s="108">
        <v>78.99</v>
      </c>
      <c r="H37" s="108">
        <f aca="true" t="shared" si="14" ref="H37:H40">ROUND((G37*$K$4),2)</f>
        <v>101.75</v>
      </c>
      <c r="I37" s="108">
        <f aca="true" t="shared" si="15" ref="I37:I40">ROUND((F37*H37),2)</f>
        <v>3712.86</v>
      </c>
      <c r="J37" s="88">
        <f t="shared" si="0"/>
        <v>0.020802129662607884</v>
      </c>
      <c r="K37" s="155"/>
      <c r="L37" s="92">
        <f t="shared" si="3"/>
        <v>78.99</v>
      </c>
      <c r="M37" s="92">
        <f t="shared" si="4"/>
        <v>36.49</v>
      </c>
      <c r="N37" s="108">
        <f>SUM(M37*L37)</f>
        <v>2882.3451</v>
      </c>
      <c r="O37" s="115"/>
      <c r="P37" s="115"/>
      <c r="Q37" s="115"/>
      <c r="R37" s="115"/>
      <c r="S37" s="115"/>
      <c r="U37" s="130"/>
      <c r="V37" s="131"/>
      <c r="W37"/>
      <c r="Y37" s="131"/>
    </row>
    <row r="38" spans="1:25" s="33" customFormat="1" ht="24.95" customHeight="1">
      <c r="A38" s="137" t="s">
        <v>138</v>
      </c>
      <c r="B38" s="127">
        <v>130110</v>
      </c>
      <c r="C38" s="126" t="s">
        <v>15</v>
      </c>
      <c r="D38" s="128" t="s">
        <v>89</v>
      </c>
      <c r="E38" s="129" t="s">
        <v>81</v>
      </c>
      <c r="F38" s="130">
        <v>36.49</v>
      </c>
      <c r="G38" s="108">
        <v>38.55</v>
      </c>
      <c r="H38" s="108">
        <f t="shared" si="14"/>
        <v>49.66</v>
      </c>
      <c r="I38" s="108">
        <f t="shared" si="15"/>
        <v>1812.09</v>
      </c>
      <c r="J38" s="88">
        <f t="shared" si="0"/>
        <v>0.010152640051150628</v>
      </c>
      <c r="K38" s="155"/>
      <c r="L38" s="92">
        <f t="shared" si="3"/>
        <v>38.55</v>
      </c>
      <c r="M38" s="92">
        <f t="shared" si="4"/>
        <v>36.49</v>
      </c>
      <c r="N38" s="108">
        <f>SUM(M38*L38)</f>
        <v>1406.6895</v>
      </c>
      <c r="O38" s="115"/>
      <c r="P38" s="115"/>
      <c r="Q38" s="115"/>
      <c r="R38" s="115"/>
      <c r="S38" s="115"/>
      <c r="U38" s="130"/>
      <c r="V38" s="131"/>
      <c r="W38"/>
      <c r="Y38" s="131"/>
    </row>
    <row r="39" spans="1:25" s="33" customFormat="1" ht="24.95" customHeight="1">
      <c r="A39" s="137" t="s">
        <v>139</v>
      </c>
      <c r="B39" s="127">
        <v>130715</v>
      </c>
      <c r="C39" s="126" t="s">
        <v>15</v>
      </c>
      <c r="D39" s="128" t="s">
        <v>140</v>
      </c>
      <c r="E39" s="129" t="s">
        <v>81</v>
      </c>
      <c r="F39" s="130">
        <v>36.49</v>
      </c>
      <c r="G39" s="108">
        <v>140.7</v>
      </c>
      <c r="H39" s="108">
        <f t="shared" si="14"/>
        <v>181.25</v>
      </c>
      <c r="I39" s="108">
        <f t="shared" si="15"/>
        <v>6613.81</v>
      </c>
      <c r="J39" s="88">
        <f aca="true" t="shared" si="16" ref="J39:J70">I39/$H$79</f>
        <v>0.03705535171912021</v>
      </c>
      <c r="K39" s="155"/>
      <c r="L39" s="92">
        <f t="shared" si="3"/>
        <v>140.7</v>
      </c>
      <c r="M39" s="92">
        <f t="shared" si="4"/>
        <v>36.49</v>
      </c>
      <c r="N39" s="108">
        <f>SUM(M39*L39)</f>
        <v>5134.143</v>
      </c>
      <c r="O39" s="115"/>
      <c r="P39" s="115"/>
      <c r="Q39" s="115"/>
      <c r="R39" s="115"/>
      <c r="S39" s="115"/>
      <c r="U39" s="130"/>
      <c r="V39" s="131"/>
      <c r="W39"/>
      <c r="Y39" s="131"/>
    </row>
    <row r="40" spans="1:25" s="33" customFormat="1" ht="24.95" customHeight="1">
      <c r="A40" s="137" t="s">
        <v>141</v>
      </c>
      <c r="B40" s="105">
        <v>120770</v>
      </c>
      <c r="C40" s="104" t="s">
        <v>15</v>
      </c>
      <c r="D40" s="106" t="s">
        <v>91</v>
      </c>
      <c r="E40" s="129" t="s">
        <v>21</v>
      </c>
      <c r="F40" s="130">
        <v>34.46</v>
      </c>
      <c r="G40" s="108">
        <v>34.61</v>
      </c>
      <c r="H40" s="108">
        <f t="shared" si="14"/>
        <v>44.58</v>
      </c>
      <c r="I40" s="108">
        <f t="shared" si="15"/>
        <v>1536.23</v>
      </c>
      <c r="J40" s="88">
        <f t="shared" si="16"/>
        <v>0.008607072620995165</v>
      </c>
      <c r="K40" s="155"/>
      <c r="L40" s="92">
        <f t="shared" si="3"/>
        <v>34.61</v>
      </c>
      <c r="M40" s="92">
        <f t="shared" si="4"/>
        <v>34.46</v>
      </c>
      <c r="N40" s="108">
        <f>SUM(M40*L40)</f>
        <v>1192.6606</v>
      </c>
      <c r="O40" s="115"/>
      <c r="P40" s="115"/>
      <c r="Q40" s="115"/>
      <c r="R40" s="115"/>
      <c r="S40" s="115"/>
      <c r="U40" s="130"/>
      <c r="V40" s="131"/>
      <c r="W40"/>
      <c r="Y40" s="131"/>
    </row>
    <row r="41" spans="1:25" s="33" customFormat="1" ht="24.95" customHeight="1">
      <c r="A41" s="161">
        <v>10</v>
      </c>
      <c r="B41" s="132"/>
      <c r="C41" s="132"/>
      <c r="D41" s="133" t="s">
        <v>178</v>
      </c>
      <c r="E41" s="133"/>
      <c r="F41" s="134"/>
      <c r="G41" s="135"/>
      <c r="H41" s="135"/>
      <c r="I41" s="136">
        <f>SUM(I42:I44)</f>
        <v>9257.46</v>
      </c>
      <c r="J41" s="88">
        <f t="shared" si="16"/>
        <v>0.051866992902077094</v>
      </c>
      <c r="K41" s="155">
        <f>J41</f>
        <v>0.051866992902077094</v>
      </c>
      <c r="L41" s="92">
        <f t="shared" si="3"/>
        <v>0</v>
      </c>
      <c r="M41" s="92">
        <f t="shared" si="4"/>
        <v>0</v>
      </c>
      <c r="N41" s="153">
        <f>SUM(N42:N43)</f>
        <v>2326.2203999999997</v>
      </c>
      <c r="O41" s="115"/>
      <c r="P41" s="115"/>
      <c r="Q41" s="115"/>
      <c r="R41" s="115"/>
      <c r="S41" s="115"/>
      <c r="U41" s="130"/>
      <c r="V41" s="131"/>
      <c r="W41"/>
      <c r="Y41" s="131"/>
    </row>
    <row r="42" spans="1:25" s="33" customFormat="1" ht="24.95" customHeight="1">
      <c r="A42" s="137" t="s">
        <v>111</v>
      </c>
      <c r="B42" s="127">
        <v>90064</v>
      </c>
      <c r="C42" s="126" t="s">
        <v>15</v>
      </c>
      <c r="D42" s="128" t="s">
        <v>194</v>
      </c>
      <c r="E42" s="129" t="s">
        <v>81</v>
      </c>
      <c r="F42" s="130">
        <v>2.94</v>
      </c>
      <c r="G42" s="108">
        <v>408.95</v>
      </c>
      <c r="H42" s="108">
        <f aca="true" t="shared" si="17" ref="H42:H43">ROUND((G42*$K$4),2)</f>
        <v>526.81</v>
      </c>
      <c r="I42" s="108">
        <f aca="true" t="shared" si="18" ref="I42:I43">ROUND((F42*H42),2)</f>
        <v>1548.82</v>
      </c>
      <c r="J42" s="88">
        <f t="shared" si="16"/>
        <v>0.008677610915585382</v>
      </c>
      <c r="K42" s="155"/>
      <c r="L42" s="92">
        <f t="shared" si="3"/>
        <v>408.95</v>
      </c>
      <c r="M42" s="92">
        <f t="shared" si="4"/>
        <v>2.94</v>
      </c>
      <c r="N42" s="108">
        <f>SUM(M42*L42)</f>
        <v>1202.3129999999999</v>
      </c>
      <c r="O42" s="115"/>
      <c r="P42" s="115"/>
      <c r="Q42" s="115"/>
      <c r="R42" s="115"/>
      <c r="S42" s="115"/>
      <c r="U42" s="130"/>
      <c r="V42" s="131"/>
      <c r="W42"/>
      <c r="Y42" s="131"/>
    </row>
    <row r="43" spans="1:25" s="33" customFormat="1" ht="24.95" customHeight="1">
      <c r="A43" s="137" t="s">
        <v>93</v>
      </c>
      <c r="B43" s="127">
        <v>90070</v>
      </c>
      <c r="C43" s="126" t="s">
        <v>15</v>
      </c>
      <c r="D43" s="128" t="s">
        <v>195</v>
      </c>
      <c r="E43" s="129" t="s">
        <v>81</v>
      </c>
      <c r="F43" s="130">
        <v>3.78</v>
      </c>
      <c r="G43" s="108">
        <v>297.33</v>
      </c>
      <c r="H43" s="108">
        <f t="shared" si="17"/>
        <v>383.02</v>
      </c>
      <c r="I43" s="108">
        <f t="shared" si="18"/>
        <v>1447.82</v>
      </c>
      <c r="J43" s="88">
        <f t="shared" si="16"/>
        <v>0.008111735796156318</v>
      </c>
      <c r="K43" s="155"/>
      <c r="L43" s="92">
        <f t="shared" si="3"/>
        <v>297.33</v>
      </c>
      <c r="M43" s="92">
        <f t="shared" si="4"/>
        <v>3.78</v>
      </c>
      <c r="N43" s="108">
        <f>SUM(M43*L43)</f>
        <v>1123.9073999999998</v>
      </c>
      <c r="O43" s="115"/>
      <c r="P43" s="115"/>
      <c r="Q43" s="115"/>
      <c r="R43" s="115"/>
      <c r="S43" s="115"/>
      <c r="U43" s="130"/>
      <c r="V43" s="131"/>
      <c r="W43"/>
      <c r="Y43" s="131"/>
    </row>
    <row r="44" spans="1:25" s="33" customFormat="1" ht="24.95" customHeight="1">
      <c r="A44" s="137" t="s">
        <v>199</v>
      </c>
      <c r="B44" s="127">
        <v>91514</v>
      </c>
      <c r="C44" s="126" t="s">
        <v>15</v>
      </c>
      <c r="D44" s="128" t="s">
        <v>200</v>
      </c>
      <c r="E44" s="129" t="s">
        <v>81</v>
      </c>
      <c r="F44" s="130">
        <v>5.22</v>
      </c>
      <c r="G44" s="108">
        <v>931.06</v>
      </c>
      <c r="H44" s="108">
        <f aca="true" t="shared" si="19" ref="H44">ROUND((G44*$K$4),2)</f>
        <v>1199.39</v>
      </c>
      <c r="I44" s="108">
        <f aca="true" t="shared" si="20" ref="I44">ROUND((F44*H44),2)</f>
        <v>6260.82</v>
      </c>
      <c r="J44" s="88">
        <f t="shared" si="16"/>
        <v>0.0350776461903354</v>
      </c>
      <c r="K44" s="155"/>
      <c r="L44" s="92">
        <f aca="true" t="shared" si="21" ref="L44">G44</f>
        <v>931.06</v>
      </c>
      <c r="M44" s="92">
        <f aca="true" t="shared" si="22" ref="M44">F44</f>
        <v>5.22</v>
      </c>
      <c r="N44" s="108">
        <f>SUM(M44*L44)</f>
        <v>4860.133199999999</v>
      </c>
      <c r="O44" s="115"/>
      <c r="P44" s="115"/>
      <c r="Q44" s="115"/>
      <c r="R44" s="115"/>
      <c r="S44" s="115"/>
      <c r="U44" s="130"/>
      <c r="V44" s="131"/>
      <c r="W44"/>
      <c r="Y44" s="131"/>
    </row>
    <row r="45" spans="1:25" s="33" customFormat="1" ht="24.95" customHeight="1">
      <c r="A45" s="132">
        <v>11</v>
      </c>
      <c r="B45" s="132"/>
      <c r="C45" s="132"/>
      <c r="D45" s="133" t="s">
        <v>20</v>
      </c>
      <c r="E45" s="133"/>
      <c r="F45" s="134"/>
      <c r="G45" s="135"/>
      <c r="H45" s="135"/>
      <c r="I45" s="136">
        <f>SUM(I46:I49)</f>
        <v>35602.329999999994</v>
      </c>
      <c r="J45" s="88">
        <f t="shared" si="16"/>
        <v>0.19947002713567288</v>
      </c>
      <c r="K45" s="155">
        <f>J45</f>
        <v>0.19947002713567288</v>
      </c>
      <c r="L45" s="92">
        <f t="shared" si="3"/>
        <v>0</v>
      </c>
      <c r="M45" s="92">
        <f t="shared" si="4"/>
        <v>0</v>
      </c>
      <c r="N45" s="153">
        <f>SUM(N46:N49)</f>
        <v>27638.558599999997</v>
      </c>
      <c r="O45" s="115"/>
      <c r="P45" s="115"/>
      <c r="Q45" s="115"/>
      <c r="R45" s="115"/>
      <c r="S45" s="115"/>
      <c r="U45" s="130"/>
      <c r="V45" s="131"/>
      <c r="W45"/>
      <c r="Y45" s="131"/>
    </row>
    <row r="46" spans="1:25" s="33" customFormat="1" ht="24.95" customHeight="1">
      <c r="A46" s="104" t="s">
        <v>151</v>
      </c>
      <c r="B46" s="105">
        <v>150180</v>
      </c>
      <c r="C46" s="104" t="s">
        <v>15</v>
      </c>
      <c r="D46" s="106" t="s">
        <v>143</v>
      </c>
      <c r="E46" s="114" t="s">
        <v>81</v>
      </c>
      <c r="F46" s="107">
        <v>685.05</v>
      </c>
      <c r="G46" s="108">
        <v>25.79</v>
      </c>
      <c r="H46" s="108">
        <f aca="true" t="shared" si="23" ref="H46:H49">ROUND((G46*$K$4),2)</f>
        <v>33.22</v>
      </c>
      <c r="I46" s="108">
        <f aca="true" t="shared" si="24" ref="I46:I49">ROUND((F46*H46),2)</f>
        <v>22757.36</v>
      </c>
      <c r="J46" s="88">
        <f t="shared" si="16"/>
        <v>0.12750320601871498</v>
      </c>
      <c r="K46" s="155"/>
      <c r="L46" s="92">
        <f t="shared" si="3"/>
        <v>25.79</v>
      </c>
      <c r="M46" s="92">
        <f t="shared" si="4"/>
        <v>685.05</v>
      </c>
      <c r="N46" s="108">
        <f>SUM(M46*L46)</f>
        <v>17667.439499999997</v>
      </c>
      <c r="O46" s="115"/>
      <c r="P46" s="115"/>
      <c r="Q46" s="115"/>
      <c r="R46" s="115"/>
      <c r="S46" s="115"/>
      <c r="U46" s="130"/>
      <c r="V46" s="131"/>
      <c r="W46"/>
      <c r="Y46" s="131"/>
    </row>
    <row r="47" spans="1:25" s="33" customFormat="1" ht="24.95" customHeight="1">
      <c r="A47" s="104" t="s">
        <v>152</v>
      </c>
      <c r="B47" s="105">
        <v>151284</v>
      </c>
      <c r="C47" s="104" t="s">
        <v>15</v>
      </c>
      <c r="D47" s="106" t="s">
        <v>144</v>
      </c>
      <c r="E47" s="114" t="s">
        <v>81</v>
      </c>
      <c r="F47" s="107">
        <v>62.34</v>
      </c>
      <c r="G47" s="108">
        <v>53.51</v>
      </c>
      <c r="H47" s="108">
        <f t="shared" si="23"/>
        <v>68.93</v>
      </c>
      <c r="I47" s="108">
        <f t="shared" si="24"/>
        <v>4297.1</v>
      </c>
      <c r="J47" s="88">
        <f t="shared" si="16"/>
        <v>0.02407546510592706</v>
      </c>
      <c r="K47" s="155"/>
      <c r="L47" s="92">
        <f t="shared" si="3"/>
        <v>53.51</v>
      </c>
      <c r="M47" s="92">
        <f t="shared" si="4"/>
        <v>62.34</v>
      </c>
      <c r="N47" s="108">
        <f>SUM(M47*L47)</f>
        <v>3335.8134</v>
      </c>
      <c r="O47" s="115"/>
      <c r="P47" s="115"/>
      <c r="Q47" s="115"/>
      <c r="R47" s="115"/>
      <c r="S47" s="115"/>
      <c r="U47" s="130"/>
      <c r="V47" s="131"/>
      <c r="W47"/>
      <c r="Y47" s="131"/>
    </row>
    <row r="48" spans="1:25" s="33" customFormat="1" ht="24.95" customHeight="1">
      <c r="A48" s="104" t="s">
        <v>153</v>
      </c>
      <c r="B48" s="127">
        <v>150654</v>
      </c>
      <c r="C48" s="104" t="s">
        <v>15</v>
      </c>
      <c r="D48" s="128" t="s">
        <v>145</v>
      </c>
      <c r="E48" s="129" t="s">
        <v>81</v>
      </c>
      <c r="F48" s="130">
        <v>57.7</v>
      </c>
      <c r="G48" s="108">
        <v>11.23</v>
      </c>
      <c r="H48" s="108">
        <f t="shared" si="23"/>
        <v>14.47</v>
      </c>
      <c r="I48" s="108">
        <f t="shared" si="24"/>
        <v>834.92</v>
      </c>
      <c r="J48" s="88">
        <f t="shared" si="16"/>
        <v>0.004677826284294202</v>
      </c>
      <c r="K48" s="155"/>
      <c r="L48" s="92">
        <f t="shared" si="3"/>
        <v>11.23</v>
      </c>
      <c r="M48" s="92">
        <f t="shared" si="4"/>
        <v>57.7</v>
      </c>
      <c r="N48" s="108">
        <f>SUM(M48*L48)</f>
        <v>647.971</v>
      </c>
      <c r="O48" s="115"/>
      <c r="P48" s="115"/>
      <c r="Q48" s="115"/>
      <c r="R48" s="115"/>
      <c r="S48" s="115"/>
      <c r="U48" s="130"/>
      <c r="V48" s="131"/>
      <c r="W48"/>
      <c r="Y48" s="131"/>
    </row>
    <row r="49" spans="1:25" s="33" customFormat="1" ht="24.95" customHeight="1">
      <c r="A49" s="104" t="s">
        <v>154</v>
      </c>
      <c r="B49" s="127">
        <v>150207</v>
      </c>
      <c r="C49" s="104" t="s">
        <v>15</v>
      </c>
      <c r="D49" s="128" t="s">
        <v>146</v>
      </c>
      <c r="E49" s="129" t="s">
        <v>81</v>
      </c>
      <c r="F49" s="130">
        <v>268.37</v>
      </c>
      <c r="G49" s="108">
        <v>22.31</v>
      </c>
      <c r="H49" s="108">
        <f t="shared" si="23"/>
        <v>28.74</v>
      </c>
      <c r="I49" s="108">
        <f t="shared" si="24"/>
        <v>7712.95</v>
      </c>
      <c r="J49" s="88">
        <f t="shared" si="16"/>
        <v>0.04321352972673666</v>
      </c>
      <c r="K49" s="155"/>
      <c r="L49" s="92">
        <f t="shared" si="3"/>
        <v>22.31</v>
      </c>
      <c r="M49" s="92">
        <f t="shared" si="4"/>
        <v>268.37</v>
      </c>
      <c r="N49" s="108">
        <f>SUM(M49*L49)</f>
        <v>5987.334699999999</v>
      </c>
      <c r="O49" s="115"/>
      <c r="P49" s="115"/>
      <c r="Q49" s="115"/>
      <c r="R49" s="115"/>
      <c r="S49" s="115"/>
      <c r="U49" s="130"/>
      <c r="V49" s="131"/>
      <c r="W49"/>
      <c r="Y49" s="131"/>
    </row>
    <row r="50" spans="1:25" s="33" customFormat="1" ht="24.95" customHeight="1">
      <c r="A50" s="132">
        <v>12</v>
      </c>
      <c r="B50" s="132"/>
      <c r="C50" s="132"/>
      <c r="D50" s="133" t="s">
        <v>22</v>
      </c>
      <c r="E50" s="133"/>
      <c r="F50" s="134"/>
      <c r="G50" s="135"/>
      <c r="H50" s="135"/>
      <c r="I50" s="136">
        <f>SUM(I51:I54)</f>
        <v>4235.35</v>
      </c>
      <c r="J50" s="88">
        <f t="shared" si="16"/>
        <v>0.023729496901721665</v>
      </c>
      <c r="K50" s="155">
        <f>J50</f>
        <v>0.023729496901721665</v>
      </c>
      <c r="L50" s="92">
        <f t="shared" si="3"/>
        <v>0</v>
      </c>
      <c r="M50" s="92">
        <f t="shared" si="4"/>
        <v>0</v>
      </c>
      <c r="N50" s="153">
        <f>SUM(N51:N54)</f>
        <v>3287.8199999999997</v>
      </c>
      <c r="O50" s="115"/>
      <c r="P50" s="115"/>
      <c r="Q50" s="115"/>
      <c r="R50" s="115"/>
      <c r="S50" s="115"/>
      <c r="U50" s="130"/>
      <c r="V50" s="131"/>
      <c r="W50"/>
      <c r="Y50" s="131"/>
    </row>
    <row r="51" spans="1:25" s="33" customFormat="1" ht="24.95" customHeight="1">
      <c r="A51" s="126" t="s">
        <v>170</v>
      </c>
      <c r="B51" s="127">
        <v>170332</v>
      </c>
      <c r="C51" s="126" t="s">
        <v>15</v>
      </c>
      <c r="D51" s="128" t="s">
        <v>162</v>
      </c>
      <c r="E51" s="129" t="s">
        <v>19</v>
      </c>
      <c r="F51" s="130">
        <v>4</v>
      </c>
      <c r="G51" s="108">
        <v>19.54</v>
      </c>
      <c r="H51" s="108">
        <f aca="true" t="shared" si="25" ref="H51:H54">ROUND((G51*$K$4),2)</f>
        <v>25.17</v>
      </c>
      <c r="I51" s="108">
        <f aca="true" t="shared" si="26" ref="I51:I54">ROUND((F51*H51),2)</f>
        <v>100.68</v>
      </c>
      <c r="J51" s="88">
        <f t="shared" si="16"/>
        <v>0.0005640822477635467</v>
      </c>
      <c r="K51" s="155"/>
      <c r="L51" s="92">
        <f t="shared" si="3"/>
        <v>19.54</v>
      </c>
      <c r="M51" s="92">
        <f t="shared" si="4"/>
        <v>4</v>
      </c>
      <c r="N51" s="108">
        <f aca="true" t="shared" si="27" ref="N51:N54">SUM(M51*L51)</f>
        <v>78.16</v>
      </c>
      <c r="O51" s="115"/>
      <c r="P51" s="115"/>
      <c r="Q51" s="115"/>
      <c r="R51" s="115"/>
      <c r="S51" s="115"/>
      <c r="U51" s="130"/>
      <c r="V51" s="131"/>
      <c r="W51"/>
      <c r="Y51" s="131"/>
    </row>
    <row r="52" spans="1:25" s="33" customFormat="1" ht="24.95" customHeight="1">
      <c r="A52" s="126" t="s">
        <v>171</v>
      </c>
      <c r="B52" s="127">
        <v>170081</v>
      </c>
      <c r="C52" s="126" t="s">
        <v>15</v>
      </c>
      <c r="D52" s="128" t="s">
        <v>163</v>
      </c>
      <c r="E52" s="129" t="s">
        <v>19</v>
      </c>
      <c r="F52" s="130">
        <v>5</v>
      </c>
      <c r="G52" s="108">
        <v>261.78</v>
      </c>
      <c r="H52" s="108">
        <f t="shared" si="25"/>
        <v>337.22</v>
      </c>
      <c r="I52" s="108">
        <f t="shared" si="26"/>
        <v>1686.1</v>
      </c>
      <c r="J52" s="88">
        <f t="shared" si="16"/>
        <v>0.00944675286009253</v>
      </c>
      <c r="K52" s="155"/>
      <c r="L52" s="92">
        <f t="shared" si="3"/>
        <v>261.78</v>
      </c>
      <c r="M52" s="92">
        <f t="shared" si="4"/>
        <v>5</v>
      </c>
      <c r="N52" s="108">
        <f t="shared" si="27"/>
        <v>1308.8999999999999</v>
      </c>
      <c r="O52" s="115"/>
      <c r="P52" s="115"/>
      <c r="Q52" s="115"/>
      <c r="R52" s="115"/>
      <c r="S52" s="115"/>
      <c r="U52" s="130"/>
      <c r="V52" s="131"/>
      <c r="W52"/>
      <c r="Y52" s="131"/>
    </row>
    <row r="53" spans="1:25" s="33" customFormat="1" ht="24.95" customHeight="1">
      <c r="A53" s="126" t="s">
        <v>172</v>
      </c>
      <c r="B53" s="127">
        <v>170339</v>
      </c>
      <c r="C53" s="126" t="s">
        <v>15</v>
      </c>
      <c r="D53" s="128" t="s">
        <v>164</v>
      </c>
      <c r="E53" s="129" t="s">
        <v>19</v>
      </c>
      <c r="F53" s="130">
        <v>4</v>
      </c>
      <c r="G53" s="108">
        <v>28.94</v>
      </c>
      <c r="H53" s="108">
        <f t="shared" si="25"/>
        <v>37.28</v>
      </c>
      <c r="I53" s="108">
        <f t="shared" si="26"/>
        <v>149.12</v>
      </c>
      <c r="J53" s="88">
        <f t="shared" si="16"/>
        <v>0.0008354781961313079</v>
      </c>
      <c r="K53" s="155"/>
      <c r="L53" s="92">
        <f t="shared" si="3"/>
        <v>28.94</v>
      </c>
      <c r="M53" s="92">
        <f t="shared" si="4"/>
        <v>4</v>
      </c>
      <c r="N53" s="108">
        <f t="shared" si="27"/>
        <v>115.76</v>
      </c>
      <c r="O53" s="115"/>
      <c r="P53" s="115"/>
      <c r="Q53" s="115"/>
      <c r="R53" s="115"/>
      <c r="S53" s="115"/>
      <c r="U53" s="130"/>
      <c r="V53" s="131"/>
      <c r="W53"/>
      <c r="Y53" s="131"/>
    </row>
    <row r="54" spans="1:25" s="33" customFormat="1" ht="24.95" customHeight="1">
      <c r="A54" s="126" t="s">
        <v>173</v>
      </c>
      <c r="B54" s="127">
        <v>171532</v>
      </c>
      <c r="C54" s="126" t="s">
        <v>15</v>
      </c>
      <c r="D54" s="128" t="s">
        <v>165</v>
      </c>
      <c r="E54" s="129" t="s">
        <v>19</v>
      </c>
      <c r="F54" s="130">
        <v>5</v>
      </c>
      <c r="G54" s="108">
        <v>357</v>
      </c>
      <c r="H54" s="108">
        <f t="shared" si="25"/>
        <v>459.89</v>
      </c>
      <c r="I54" s="108">
        <f t="shared" si="26"/>
        <v>2299.45</v>
      </c>
      <c r="J54" s="88">
        <f t="shared" si="16"/>
        <v>0.012883183597734278</v>
      </c>
      <c r="K54" s="155"/>
      <c r="L54" s="92">
        <f t="shared" si="3"/>
        <v>357</v>
      </c>
      <c r="M54" s="92">
        <f t="shared" si="4"/>
        <v>5</v>
      </c>
      <c r="N54" s="108">
        <f t="shared" si="27"/>
        <v>1785</v>
      </c>
      <c r="O54" s="115"/>
      <c r="P54" s="115"/>
      <c r="Q54" s="115"/>
      <c r="R54" s="115"/>
      <c r="S54" s="115"/>
      <c r="U54" s="130"/>
      <c r="V54" s="131"/>
      <c r="W54"/>
      <c r="Y54" s="131"/>
    </row>
    <row r="55" spans="1:25" s="33" customFormat="1" ht="24.95" customHeight="1">
      <c r="A55" s="132">
        <v>13</v>
      </c>
      <c r="B55" s="132"/>
      <c r="C55" s="132"/>
      <c r="D55" s="133" t="s">
        <v>92</v>
      </c>
      <c r="E55" s="133"/>
      <c r="F55" s="134"/>
      <c r="G55" s="135"/>
      <c r="H55" s="135"/>
      <c r="I55" s="136">
        <f>SUM(I56:I71)</f>
        <v>13552.51</v>
      </c>
      <c r="J55" s="88">
        <f t="shared" si="16"/>
        <v>0.07593097242389693</v>
      </c>
      <c r="K55" s="155">
        <f>J55</f>
        <v>0.07593097242389693</v>
      </c>
      <c r="L55" s="92">
        <f t="shared" si="3"/>
        <v>0</v>
      </c>
      <c r="M55" s="92">
        <f t="shared" si="4"/>
        <v>0</v>
      </c>
      <c r="N55" s="153">
        <f>SUM(N56:N71)</f>
        <v>10520.520000000002</v>
      </c>
      <c r="O55" s="115"/>
      <c r="P55" s="115"/>
      <c r="Q55" s="115"/>
      <c r="R55" s="115"/>
      <c r="S55" s="115"/>
      <c r="U55" s="130"/>
      <c r="V55" s="131"/>
      <c r="W55"/>
      <c r="Y55" s="131"/>
    </row>
    <row r="56" spans="1:25" s="33" customFormat="1" ht="24.95" customHeight="1">
      <c r="A56" s="104" t="s">
        <v>175</v>
      </c>
      <c r="B56" s="105">
        <v>190232</v>
      </c>
      <c r="C56" s="104" t="s">
        <v>15</v>
      </c>
      <c r="D56" s="106" t="s">
        <v>94</v>
      </c>
      <c r="E56" s="138" t="s">
        <v>19</v>
      </c>
      <c r="F56" s="107">
        <v>3</v>
      </c>
      <c r="G56" s="108">
        <v>829.7</v>
      </c>
      <c r="H56" s="108">
        <f aca="true" t="shared" si="28" ref="H56:H71">ROUND((G56*$K$4),2)</f>
        <v>1068.82</v>
      </c>
      <c r="I56" s="108">
        <f aca="true" t="shared" si="29" ref="I56:I71">ROUND((F56*H56),2)</f>
        <v>3206.46</v>
      </c>
      <c r="J56" s="88">
        <f t="shared" si="16"/>
        <v>0.01796491025192592</v>
      </c>
      <c r="K56" s="155"/>
      <c r="L56" s="92">
        <f t="shared" si="3"/>
        <v>829.7</v>
      </c>
      <c r="M56" s="92">
        <f t="shared" si="4"/>
        <v>3</v>
      </c>
      <c r="N56" s="108">
        <f aca="true" t="shared" si="30" ref="N56:N69">SUM(M56*L56)</f>
        <v>2489.1000000000004</v>
      </c>
      <c r="O56" s="115"/>
      <c r="P56" s="115"/>
      <c r="Q56" s="115"/>
      <c r="R56" s="115"/>
      <c r="S56" s="115"/>
      <c r="U56" s="130"/>
      <c r="V56" s="131"/>
      <c r="W56"/>
      <c r="Y56" s="131"/>
    </row>
    <row r="57" spans="1:25" s="33" customFormat="1" ht="24.95" customHeight="1">
      <c r="A57" s="104" t="s">
        <v>176</v>
      </c>
      <c r="B57" s="105">
        <v>190610</v>
      </c>
      <c r="C57" s="104" t="s">
        <v>15</v>
      </c>
      <c r="D57" s="106" t="s">
        <v>95</v>
      </c>
      <c r="E57" s="138" t="s">
        <v>19</v>
      </c>
      <c r="F57" s="107">
        <v>3</v>
      </c>
      <c r="G57" s="108">
        <v>976</v>
      </c>
      <c r="H57" s="108">
        <f t="shared" si="28"/>
        <v>1257.28</v>
      </c>
      <c r="I57" s="108">
        <f t="shared" si="29"/>
        <v>3771.84</v>
      </c>
      <c r="J57" s="88">
        <f t="shared" si="16"/>
        <v>0.02113257832145864</v>
      </c>
      <c r="K57" s="155"/>
      <c r="L57" s="92">
        <f t="shared" si="3"/>
        <v>976</v>
      </c>
      <c r="M57" s="92">
        <f t="shared" si="4"/>
        <v>3</v>
      </c>
      <c r="N57" s="108">
        <f t="shared" si="30"/>
        <v>2928</v>
      </c>
      <c r="O57" s="115"/>
      <c r="P57" s="115"/>
      <c r="Q57" s="115"/>
      <c r="R57" s="115"/>
      <c r="S57" s="115"/>
      <c r="U57" s="130"/>
      <c r="V57" s="131"/>
      <c r="W57"/>
      <c r="Y57" s="131"/>
    </row>
    <row r="58" spans="1:25" s="33" customFormat="1" ht="23.25" customHeight="1">
      <c r="A58" s="104" t="s">
        <v>179</v>
      </c>
      <c r="B58" s="127">
        <v>191514</v>
      </c>
      <c r="C58" s="104" t="s">
        <v>15</v>
      </c>
      <c r="D58" s="128" t="s">
        <v>147</v>
      </c>
      <c r="E58" s="138" t="s">
        <v>19</v>
      </c>
      <c r="F58" s="130">
        <v>3</v>
      </c>
      <c r="G58" s="108">
        <v>217.58</v>
      </c>
      <c r="H58" s="108">
        <f t="shared" si="28"/>
        <v>280.29</v>
      </c>
      <c r="I58" s="108">
        <f t="shared" si="29"/>
        <v>840.87</v>
      </c>
      <c r="J58" s="88">
        <f t="shared" si="16"/>
        <v>0.004711162491824925</v>
      </c>
      <c r="K58" s="155"/>
      <c r="L58" s="92">
        <f t="shared" si="3"/>
        <v>217.58</v>
      </c>
      <c r="M58" s="92">
        <f t="shared" si="4"/>
        <v>3</v>
      </c>
      <c r="N58" s="108">
        <f t="shared" si="30"/>
        <v>652.74</v>
      </c>
      <c r="O58" s="115"/>
      <c r="P58" s="115"/>
      <c r="Q58" s="115"/>
      <c r="R58" s="115"/>
      <c r="S58" s="115"/>
      <c r="U58" s="130"/>
      <c r="V58" s="131"/>
      <c r="W58"/>
      <c r="Y58" s="131"/>
    </row>
    <row r="59" spans="1:25" s="33" customFormat="1" ht="24.95" customHeight="1">
      <c r="A59" s="104" t="s">
        <v>180</v>
      </c>
      <c r="B59" s="127">
        <v>190691</v>
      </c>
      <c r="C59" s="104" t="s">
        <v>15</v>
      </c>
      <c r="D59" s="128" t="s">
        <v>148</v>
      </c>
      <c r="E59" s="138" t="s">
        <v>19</v>
      </c>
      <c r="F59" s="130">
        <v>3</v>
      </c>
      <c r="G59" s="108">
        <v>168.28</v>
      </c>
      <c r="H59" s="108">
        <f t="shared" si="28"/>
        <v>216.78</v>
      </c>
      <c r="I59" s="108">
        <f t="shared" si="29"/>
        <v>650.34</v>
      </c>
      <c r="J59" s="88">
        <f t="shared" si="16"/>
        <v>0.003643675496727701</v>
      </c>
      <c r="K59" s="155"/>
      <c r="L59" s="92">
        <f t="shared" si="3"/>
        <v>168.28</v>
      </c>
      <c r="M59" s="92">
        <f t="shared" si="4"/>
        <v>3</v>
      </c>
      <c r="N59" s="108">
        <f t="shared" si="30"/>
        <v>504.84000000000003</v>
      </c>
      <c r="O59" s="115"/>
      <c r="P59" s="115"/>
      <c r="Q59" s="115"/>
      <c r="R59" s="115"/>
      <c r="S59" s="115"/>
      <c r="U59" s="130"/>
      <c r="V59" s="131"/>
      <c r="W59"/>
      <c r="Y59" s="131"/>
    </row>
    <row r="60" spans="1:25" s="33" customFormat="1" ht="24.95" customHeight="1">
      <c r="A60" s="104" t="s">
        <v>181</v>
      </c>
      <c r="B60" s="127">
        <v>190791</v>
      </c>
      <c r="C60" s="104" t="s">
        <v>15</v>
      </c>
      <c r="D60" s="128" t="s">
        <v>149</v>
      </c>
      <c r="E60" s="138" t="s">
        <v>19</v>
      </c>
      <c r="F60" s="130">
        <v>3</v>
      </c>
      <c r="G60" s="108">
        <v>37.65</v>
      </c>
      <c r="H60" s="108">
        <f t="shared" si="28"/>
        <v>48.5</v>
      </c>
      <c r="I60" s="108">
        <f t="shared" si="29"/>
        <v>145.5</v>
      </c>
      <c r="J60" s="88">
        <f t="shared" si="16"/>
        <v>0.0008151963354151374</v>
      </c>
      <c r="K60" s="155"/>
      <c r="L60" s="92">
        <f t="shared" si="3"/>
        <v>37.65</v>
      </c>
      <c r="M60" s="92">
        <f t="shared" si="4"/>
        <v>3</v>
      </c>
      <c r="N60" s="108">
        <f t="shared" si="30"/>
        <v>112.94999999999999</v>
      </c>
      <c r="O60" s="115"/>
      <c r="P60" s="115"/>
      <c r="Q60" s="115"/>
      <c r="R60" s="115"/>
      <c r="S60" s="115"/>
      <c r="U60" s="130"/>
      <c r="V60" s="131"/>
      <c r="W60"/>
      <c r="Y60" s="131"/>
    </row>
    <row r="61" spans="1:25" s="33" customFormat="1" ht="24.95" customHeight="1">
      <c r="A61" s="104" t="s">
        <v>182</v>
      </c>
      <c r="B61" s="127">
        <v>191521</v>
      </c>
      <c r="C61" s="104" t="s">
        <v>15</v>
      </c>
      <c r="D61" s="128" t="s">
        <v>150</v>
      </c>
      <c r="E61" s="138" t="s">
        <v>19</v>
      </c>
      <c r="F61" s="130">
        <v>3</v>
      </c>
      <c r="G61" s="108">
        <v>29.95</v>
      </c>
      <c r="H61" s="108">
        <f t="shared" si="28"/>
        <v>38.58</v>
      </c>
      <c r="I61" s="108">
        <f t="shared" si="29"/>
        <v>115.74</v>
      </c>
      <c r="J61" s="88">
        <f t="shared" si="16"/>
        <v>0.0006484592705219794</v>
      </c>
      <c r="K61" s="155"/>
      <c r="L61" s="92">
        <f t="shared" si="3"/>
        <v>29.95</v>
      </c>
      <c r="M61" s="92">
        <f t="shared" si="4"/>
        <v>3</v>
      </c>
      <c r="N61" s="108">
        <f t="shared" si="30"/>
        <v>89.85</v>
      </c>
      <c r="O61" s="115"/>
      <c r="P61" s="115"/>
      <c r="Q61" s="115"/>
      <c r="R61" s="115"/>
      <c r="S61" s="115"/>
      <c r="U61" s="130"/>
      <c r="V61" s="131"/>
      <c r="W61"/>
      <c r="Y61" s="131"/>
    </row>
    <row r="62" spans="1:25" s="33" customFormat="1" ht="24.95" customHeight="1">
      <c r="A62" s="104" t="s">
        <v>183</v>
      </c>
      <c r="B62" s="127">
        <v>190797</v>
      </c>
      <c r="C62" s="104" t="s">
        <v>15</v>
      </c>
      <c r="D62" s="128" t="s">
        <v>155</v>
      </c>
      <c r="E62" s="138" t="s">
        <v>19</v>
      </c>
      <c r="F62" s="130">
        <v>3</v>
      </c>
      <c r="G62" s="108">
        <v>87.66</v>
      </c>
      <c r="H62" s="108">
        <f t="shared" si="28"/>
        <v>112.92</v>
      </c>
      <c r="I62" s="108">
        <f t="shared" si="29"/>
        <v>338.76</v>
      </c>
      <c r="J62" s="88">
        <f t="shared" si="16"/>
        <v>0.0018979787669088106</v>
      </c>
      <c r="K62" s="155"/>
      <c r="L62" s="92">
        <f t="shared" si="3"/>
        <v>87.66</v>
      </c>
      <c r="M62" s="92">
        <f t="shared" si="4"/>
        <v>3</v>
      </c>
      <c r="N62" s="108">
        <f t="shared" si="30"/>
        <v>262.98</v>
      </c>
      <c r="O62" s="115"/>
      <c r="P62" s="115"/>
      <c r="Q62" s="115"/>
      <c r="R62" s="115"/>
      <c r="S62" s="115"/>
      <c r="U62" s="130"/>
      <c r="V62" s="131"/>
      <c r="W62"/>
      <c r="Y62" s="131"/>
    </row>
    <row r="63" spans="1:25" s="33" customFormat="1" ht="24.95" customHeight="1">
      <c r="A63" s="104" t="s">
        <v>184</v>
      </c>
      <c r="B63" s="127">
        <v>190795</v>
      </c>
      <c r="C63" s="104" t="s">
        <v>15</v>
      </c>
      <c r="D63" s="128" t="s">
        <v>156</v>
      </c>
      <c r="E63" s="138" t="s">
        <v>19</v>
      </c>
      <c r="F63" s="130">
        <v>3</v>
      </c>
      <c r="G63" s="108">
        <v>115.8</v>
      </c>
      <c r="H63" s="108">
        <f t="shared" si="28"/>
        <v>149.17</v>
      </c>
      <c r="I63" s="108">
        <f t="shared" si="29"/>
        <v>447.51</v>
      </c>
      <c r="J63" s="88">
        <f t="shared" si="16"/>
        <v>0.002507274996987135</v>
      </c>
      <c r="K63" s="155"/>
      <c r="L63" s="92">
        <f t="shared" si="3"/>
        <v>115.8</v>
      </c>
      <c r="M63" s="92">
        <f t="shared" si="4"/>
        <v>3</v>
      </c>
      <c r="N63" s="108">
        <f t="shared" si="30"/>
        <v>347.4</v>
      </c>
      <c r="O63" s="115"/>
      <c r="P63" s="115"/>
      <c r="Q63" s="115"/>
      <c r="R63" s="115"/>
      <c r="S63" s="115"/>
      <c r="U63" s="130"/>
      <c r="V63" s="131"/>
      <c r="W63"/>
      <c r="Y63" s="131"/>
    </row>
    <row r="64" spans="1:25" s="33" customFormat="1" ht="24.95" customHeight="1">
      <c r="A64" s="104" t="s">
        <v>185</v>
      </c>
      <c r="B64" s="127">
        <v>190794</v>
      </c>
      <c r="C64" s="104" t="s">
        <v>15</v>
      </c>
      <c r="D64" s="128" t="s">
        <v>157</v>
      </c>
      <c r="E64" s="138" t="s">
        <v>19</v>
      </c>
      <c r="F64" s="130">
        <v>3</v>
      </c>
      <c r="G64" s="108">
        <v>88.78</v>
      </c>
      <c r="H64" s="108">
        <f t="shared" si="28"/>
        <v>114.37</v>
      </c>
      <c r="I64" s="108">
        <f t="shared" si="29"/>
        <v>343.11</v>
      </c>
      <c r="J64" s="88">
        <f t="shared" si="16"/>
        <v>0.0019223506161119438</v>
      </c>
      <c r="K64" s="155"/>
      <c r="L64" s="92">
        <f t="shared" si="3"/>
        <v>88.78</v>
      </c>
      <c r="M64" s="92">
        <f t="shared" si="4"/>
        <v>3</v>
      </c>
      <c r="N64" s="108">
        <f t="shared" si="30"/>
        <v>266.34000000000003</v>
      </c>
      <c r="O64" s="115"/>
      <c r="P64" s="115"/>
      <c r="Q64" s="115"/>
      <c r="R64" s="115"/>
      <c r="S64" s="115"/>
      <c r="U64" s="130"/>
      <c r="V64" s="131"/>
      <c r="W64"/>
      <c r="Y64" s="131"/>
    </row>
    <row r="65" spans="1:25" s="33" customFormat="1" ht="24.95" customHeight="1">
      <c r="A65" s="104" t="s">
        <v>186</v>
      </c>
      <c r="B65" s="127">
        <v>190085</v>
      </c>
      <c r="C65" s="104" t="s">
        <v>15</v>
      </c>
      <c r="D65" s="128" t="s">
        <v>158</v>
      </c>
      <c r="E65" s="138" t="s">
        <v>19</v>
      </c>
      <c r="F65" s="130">
        <v>1</v>
      </c>
      <c r="G65" s="108">
        <v>973.4</v>
      </c>
      <c r="H65" s="108">
        <f t="shared" si="28"/>
        <v>1253.93</v>
      </c>
      <c r="I65" s="108">
        <f t="shared" si="29"/>
        <v>1253.93</v>
      </c>
      <c r="J65" s="88">
        <f t="shared" si="16"/>
        <v>0.007025423648571157</v>
      </c>
      <c r="K65" s="155"/>
      <c r="L65" s="92">
        <f t="shared" si="3"/>
        <v>973.4</v>
      </c>
      <c r="M65" s="92">
        <f t="shared" si="4"/>
        <v>1</v>
      </c>
      <c r="N65" s="108">
        <f t="shared" si="30"/>
        <v>973.4</v>
      </c>
      <c r="O65" s="115"/>
      <c r="P65" s="115"/>
      <c r="Q65" s="115"/>
      <c r="R65" s="115"/>
      <c r="S65" s="115"/>
      <c r="U65" s="130"/>
      <c r="V65" s="131"/>
      <c r="W65"/>
      <c r="Y65" s="131"/>
    </row>
    <row r="66" spans="1:25" s="33" customFormat="1" ht="24.95" customHeight="1">
      <c r="A66" s="104" t="s">
        <v>187</v>
      </c>
      <c r="B66" s="127">
        <v>191515</v>
      </c>
      <c r="C66" s="104" t="s">
        <v>15</v>
      </c>
      <c r="D66" s="128" t="s">
        <v>159</v>
      </c>
      <c r="E66" s="138" t="s">
        <v>19</v>
      </c>
      <c r="F66" s="130">
        <v>2</v>
      </c>
      <c r="G66" s="108">
        <v>245.11</v>
      </c>
      <c r="H66" s="108">
        <f t="shared" si="28"/>
        <v>315.75</v>
      </c>
      <c r="I66" s="108">
        <f t="shared" si="29"/>
        <v>631.5</v>
      </c>
      <c r="J66" s="88">
        <f t="shared" si="16"/>
        <v>0.0035381201774203385</v>
      </c>
      <c r="K66" s="155"/>
      <c r="L66" s="92">
        <f t="shared" si="3"/>
        <v>245.11</v>
      </c>
      <c r="M66" s="92">
        <f t="shared" si="4"/>
        <v>2</v>
      </c>
      <c r="N66" s="108">
        <f t="shared" si="30"/>
        <v>490.22</v>
      </c>
      <c r="O66" s="115"/>
      <c r="P66" s="115"/>
      <c r="Q66" s="115"/>
      <c r="R66" s="115"/>
      <c r="S66" s="115"/>
      <c r="U66" s="130"/>
      <c r="V66" s="131"/>
      <c r="W66"/>
      <c r="Y66" s="131"/>
    </row>
    <row r="67" spans="1:25" s="33" customFormat="1" ht="24.95" customHeight="1">
      <c r="A67" s="104" t="s">
        <v>188</v>
      </c>
      <c r="B67" s="127">
        <v>191517</v>
      </c>
      <c r="C67" s="104" t="s">
        <v>15</v>
      </c>
      <c r="D67" s="128" t="s">
        <v>160</v>
      </c>
      <c r="E67" s="138" t="s">
        <v>19</v>
      </c>
      <c r="F67" s="130">
        <v>3</v>
      </c>
      <c r="G67" s="108">
        <v>88.12</v>
      </c>
      <c r="H67" s="108">
        <f t="shared" si="28"/>
        <v>113.52</v>
      </c>
      <c r="I67" s="108">
        <f t="shared" si="29"/>
        <v>340.56</v>
      </c>
      <c r="J67" s="88">
        <f t="shared" si="16"/>
        <v>0.0019080636700273485</v>
      </c>
      <c r="K67" s="155"/>
      <c r="L67" s="92">
        <f t="shared" si="3"/>
        <v>88.12</v>
      </c>
      <c r="M67" s="92">
        <f t="shared" si="4"/>
        <v>3</v>
      </c>
      <c r="N67" s="108">
        <f t="shared" si="30"/>
        <v>264.36</v>
      </c>
      <c r="O67" s="115"/>
      <c r="P67" s="115"/>
      <c r="Q67" s="115"/>
      <c r="R67" s="115"/>
      <c r="S67" s="115"/>
      <c r="U67" s="130"/>
      <c r="V67" s="131"/>
      <c r="W67"/>
      <c r="Y67" s="131"/>
    </row>
    <row r="68" spans="1:25" ht="21.75" customHeight="1">
      <c r="A68" s="104" t="s">
        <v>189</v>
      </c>
      <c r="B68" s="139">
        <v>180680</v>
      </c>
      <c r="C68" s="38" t="s">
        <v>15</v>
      </c>
      <c r="D68" s="140" t="s">
        <v>166</v>
      </c>
      <c r="E68" s="6" t="s">
        <v>19</v>
      </c>
      <c r="F68" s="141">
        <v>2</v>
      </c>
      <c r="G68" s="108">
        <v>345.25</v>
      </c>
      <c r="H68" s="108">
        <f t="shared" si="28"/>
        <v>444.75</v>
      </c>
      <c r="I68" s="108">
        <f t="shared" si="29"/>
        <v>889.5</v>
      </c>
      <c r="J68" s="88">
        <f t="shared" si="16"/>
        <v>0.004983622957744087</v>
      </c>
      <c r="L68" s="92">
        <f t="shared" si="3"/>
        <v>345.25</v>
      </c>
      <c r="M68" s="92">
        <f t="shared" si="4"/>
        <v>2</v>
      </c>
      <c r="N68" s="108">
        <f t="shared" si="30"/>
        <v>690.5</v>
      </c>
      <c r="O68" s="92"/>
      <c r="U68" s="141"/>
      <c r="V68" s="142"/>
      <c r="Y68" s="142"/>
    </row>
    <row r="69" spans="1:25" ht="21" customHeight="1">
      <c r="A69" s="104" t="s">
        <v>190</v>
      </c>
      <c r="B69" s="139">
        <v>180102</v>
      </c>
      <c r="C69" s="38" t="s">
        <v>15</v>
      </c>
      <c r="D69" s="140" t="s">
        <v>167</v>
      </c>
      <c r="E69" s="143" t="s">
        <v>21</v>
      </c>
      <c r="F69" s="141">
        <v>3</v>
      </c>
      <c r="G69" s="108">
        <v>43.84</v>
      </c>
      <c r="H69" s="108">
        <f t="shared" si="28"/>
        <v>56.47</v>
      </c>
      <c r="I69" s="108">
        <f t="shared" si="29"/>
        <v>169.41</v>
      </c>
      <c r="J69" s="88">
        <f t="shared" si="16"/>
        <v>0.0009491574651730476</v>
      </c>
      <c r="L69" s="92">
        <f t="shared" si="3"/>
        <v>43.84</v>
      </c>
      <c r="M69" s="92">
        <f t="shared" si="4"/>
        <v>3</v>
      </c>
      <c r="N69" s="108">
        <f t="shared" si="30"/>
        <v>131.52</v>
      </c>
      <c r="O69" s="92"/>
      <c r="U69" s="141"/>
      <c r="V69" s="142"/>
      <c r="Y69" s="142"/>
    </row>
    <row r="70" spans="1:25" ht="19.5" customHeight="1">
      <c r="A70" s="104" t="s">
        <v>191</v>
      </c>
      <c r="B70" s="139">
        <v>180257</v>
      </c>
      <c r="C70" s="38" t="s">
        <v>15</v>
      </c>
      <c r="D70" s="140" t="s">
        <v>168</v>
      </c>
      <c r="E70" s="6" t="s">
        <v>19</v>
      </c>
      <c r="F70" s="141">
        <v>2</v>
      </c>
      <c r="G70" s="108">
        <v>20.64</v>
      </c>
      <c r="H70" s="108">
        <f t="shared" si="28"/>
        <v>26.59</v>
      </c>
      <c r="I70" s="108">
        <f t="shared" si="29"/>
        <v>53.18</v>
      </c>
      <c r="J70" s="88">
        <f t="shared" si="16"/>
        <v>0.00029795285991324406</v>
      </c>
      <c r="L70" s="92">
        <f aca="true" t="shared" si="31" ref="L70:L75">G70</f>
        <v>20.64</v>
      </c>
      <c r="M70" s="92">
        <f aca="true" t="shared" si="32" ref="M70:M75">F70</f>
        <v>2</v>
      </c>
      <c r="N70" s="108">
        <f aca="true" t="shared" si="33" ref="N70:N75">SUM(M70*L70)</f>
        <v>41.28</v>
      </c>
      <c r="O70" s="92"/>
      <c r="U70" s="141"/>
      <c r="V70" s="142"/>
      <c r="Y70" s="142"/>
    </row>
    <row r="71" spans="1:25" ht="20.25" customHeight="1">
      <c r="A71" s="104" t="s">
        <v>192</v>
      </c>
      <c r="B71" s="139">
        <v>190231</v>
      </c>
      <c r="C71" s="38" t="s">
        <v>15</v>
      </c>
      <c r="D71" s="140" t="s">
        <v>169</v>
      </c>
      <c r="E71" s="6" t="s">
        <v>19</v>
      </c>
      <c r="F71" s="141">
        <v>3</v>
      </c>
      <c r="G71" s="108">
        <v>91.68</v>
      </c>
      <c r="H71" s="108">
        <f t="shared" si="28"/>
        <v>118.1</v>
      </c>
      <c r="I71" s="108">
        <f t="shared" si="29"/>
        <v>354.3</v>
      </c>
      <c r="J71" s="88">
        <f aca="true" t="shared" si="34" ref="J71:J102">I71/$H$79</f>
        <v>0.0019850450971655204</v>
      </c>
      <c r="L71" s="92">
        <f t="shared" si="31"/>
        <v>91.68</v>
      </c>
      <c r="M71" s="92">
        <f t="shared" si="32"/>
        <v>3</v>
      </c>
      <c r="N71" s="108">
        <f t="shared" si="33"/>
        <v>275.04</v>
      </c>
      <c r="O71" s="92"/>
      <c r="U71" s="141"/>
      <c r="V71" s="142"/>
      <c r="Y71" s="142"/>
    </row>
    <row r="72" spans="1:25" ht="21" customHeight="1">
      <c r="A72" s="37">
        <v>14</v>
      </c>
      <c r="B72" s="37"/>
      <c r="C72" s="37"/>
      <c r="D72" s="3" t="s">
        <v>174</v>
      </c>
      <c r="E72" s="3"/>
      <c r="F72" s="98"/>
      <c r="G72" s="101"/>
      <c r="H72" s="101"/>
      <c r="I72" s="4">
        <f>SUM(I73:I73)</f>
        <v>1662.63</v>
      </c>
      <c r="J72" s="88">
        <f aca="true" t="shared" si="35" ref="J72:J74">I72/$H$79</f>
        <v>0.009315256928874707</v>
      </c>
      <c r="K72" s="155">
        <f>J72</f>
        <v>0.009315256928874707</v>
      </c>
      <c r="L72" s="92">
        <f t="shared" si="31"/>
        <v>0</v>
      </c>
      <c r="M72" s="92">
        <f t="shared" si="32"/>
        <v>0</v>
      </c>
      <c r="N72" s="153">
        <f>SUM(N73:N73)</f>
        <v>1290.7176000000002</v>
      </c>
      <c r="O72" s="92"/>
      <c r="U72" s="141"/>
      <c r="V72" s="142"/>
      <c r="Y72" s="142"/>
    </row>
    <row r="73" spans="1:25" ht="21.75" customHeight="1">
      <c r="A73" s="104" t="s">
        <v>177</v>
      </c>
      <c r="B73" s="127">
        <v>260168</v>
      </c>
      <c r="C73" s="104" t="s">
        <v>15</v>
      </c>
      <c r="D73" s="128" t="s">
        <v>161</v>
      </c>
      <c r="E73" s="129" t="s">
        <v>81</v>
      </c>
      <c r="F73" s="130">
        <v>38.46</v>
      </c>
      <c r="G73" s="108">
        <v>33.56</v>
      </c>
      <c r="H73" s="108">
        <f aca="true" t="shared" si="36" ref="H73">ROUND((G73*$K$4),2)</f>
        <v>43.23</v>
      </c>
      <c r="I73" s="108">
        <f aca="true" t="shared" si="37" ref="I73">ROUND((F73*H73),2)</f>
        <v>1662.63</v>
      </c>
      <c r="J73" s="88">
        <f t="shared" si="35"/>
        <v>0.009315256928874707</v>
      </c>
      <c r="L73" s="92">
        <f t="shared" si="31"/>
        <v>33.56</v>
      </c>
      <c r="M73" s="92">
        <f t="shared" si="32"/>
        <v>38.46</v>
      </c>
      <c r="N73" s="108">
        <f t="shared" si="33"/>
        <v>1290.7176000000002</v>
      </c>
      <c r="O73" s="92"/>
      <c r="U73" s="141"/>
      <c r="V73" s="142"/>
      <c r="Y73" s="142"/>
    </row>
    <row r="74" spans="1:25" ht="20.1" customHeight="1">
      <c r="A74" s="37">
        <v>15</v>
      </c>
      <c r="B74" s="37"/>
      <c r="C74" s="37"/>
      <c r="D74" s="3" t="s">
        <v>23</v>
      </c>
      <c r="E74" s="3"/>
      <c r="F74" s="98"/>
      <c r="G74" s="101"/>
      <c r="H74" s="101"/>
      <c r="I74" s="4">
        <f>SUM(I75:I75)</f>
        <v>6641.25</v>
      </c>
      <c r="J74" s="88">
        <f t="shared" si="35"/>
        <v>0.037209090464438356</v>
      </c>
      <c r="K74" s="155">
        <f>J74</f>
        <v>0.037209090464438356</v>
      </c>
      <c r="L74" s="92">
        <f t="shared" si="31"/>
        <v>0</v>
      </c>
      <c r="M74" s="92">
        <f t="shared" si="32"/>
        <v>0</v>
      </c>
      <c r="N74" s="153">
        <f>SUM(N75:N75)</f>
        <v>5155.962799999999</v>
      </c>
      <c r="O74" s="92" t="e">
        <f>#REF!*N74</f>
        <v>#REF!</v>
      </c>
      <c r="Q74" s="92">
        <f>M74*P74</f>
        <v>0</v>
      </c>
      <c r="S74" s="92">
        <f>M74*R74</f>
        <v>0</v>
      </c>
      <c r="U74" s="98"/>
      <c r="V74" s="101"/>
      <c r="W74">
        <f aca="true" t="shared" si="38" ref="W74:W75">U74*V74</f>
        <v>0</v>
      </c>
      <c r="Y74" s="101"/>
    </row>
    <row r="75" spans="1:26" ht="20.25" customHeight="1">
      <c r="A75" s="38" t="s">
        <v>193</v>
      </c>
      <c r="B75" s="39">
        <v>270220</v>
      </c>
      <c r="C75" s="38" t="s">
        <v>15</v>
      </c>
      <c r="D75" s="5" t="s">
        <v>75</v>
      </c>
      <c r="E75" s="91" t="s">
        <v>81</v>
      </c>
      <c r="F75" s="99">
        <v>654.31</v>
      </c>
      <c r="G75" s="108">
        <v>7.88</v>
      </c>
      <c r="H75" s="108">
        <f aca="true" t="shared" si="39" ref="H75">ROUND((G75*$K$4),2)</f>
        <v>10.15</v>
      </c>
      <c r="I75" s="108">
        <f aca="true" t="shared" si="40" ref="I75">ROUND((F75*H75),2)</f>
        <v>6641.25</v>
      </c>
      <c r="J75" s="88">
        <f aca="true" t="shared" si="41" ref="J75">I75/$H$79</f>
        <v>0.037209090464438356</v>
      </c>
      <c r="L75" s="92">
        <f t="shared" si="31"/>
        <v>7.88</v>
      </c>
      <c r="M75" s="92">
        <f t="shared" si="32"/>
        <v>654.31</v>
      </c>
      <c r="N75" s="108">
        <f t="shared" si="33"/>
        <v>5155.962799999999</v>
      </c>
      <c r="O75" s="92" t="e">
        <f>#REF!*N75</f>
        <v>#REF!</v>
      </c>
      <c r="P75" s="92">
        <v>6.03</v>
      </c>
      <c r="Q75" s="92">
        <f>M75*P75</f>
        <v>3945.4892999999997</v>
      </c>
      <c r="R75" s="92">
        <v>7.839</v>
      </c>
      <c r="S75" s="92">
        <f>M75*R75</f>
        <v>5129.13609</v>
      </c>
      <c r="U75" s="99">
        <v>609.19</v>
      </c>
      <c r="V75" s="7">
        <v>6.03</v>
      </c>
      <c r="W75">
        <f t="shared" si="38"/>
        <v>3673.4157000000005</v>
      </c>
      <c r="Y75" s="7">
        <v>6.03</v>
      </c>
      <c r="Z75">
        <f>F75*G75</f>
        <v>5155.962799999999</v>
      </c>
    </row>
    <row r="76" spans="2:25" ht="14.25">
      <c r="B76" s="11"/>
      <c r="C76" s="11"/>
      <c r="D76" s="11"/>
      <c r="E76" s="11"/>
      <c r="F76" s="100"/>
      <c r="G76" s="100"/>
      <c r="H76" s="100"/>
      <c r="I76" s="100"/>
      <c r="J76" s="89"/>
      <c r="K76" s="155">
        <f>SUM(K7:K75)</f>
        <v>0.9999999999999997</v>
      </c>
      <c r="N76" s="150"/>
      <c r="Q76" s="92">
        <f>SUM(Q8:Q75)</f>
        <v>25706.0103</v>
      </c>
      <c r="S76" s="92">
        <f>SUM(S8:S75)</f>
        <v>33417.81339</v>
      </c>
      <c r="U76" s="100">
        <f>SUM(U8:U75)</f>
        <v>1025.14</v>
      </c>
      <c r="V76" s="100"/>
      <c r="W76" s="92">
        <f>SUM(W8:W75)</f>
        <v>21719.6244</v>
      </c>
      <c r="Y76" s="100"/>
    </row>
    <row r="77" spans="1:25" ht="14.25">
      <c r="A77" s="11"/>
      <c r="B77" s="125"/>
      <c r="C77" s="125"/>
      <c r="D77" s="10"/>
      <c r="E77" s="9"/>
      <c r="F77" s="188" t="s">
        <v>24</v>
      </c>
      <c r="G77" s="189"/>
      <c r="H77" s="192">
        <f>N77</f>
        <v>133695.401</v>
      </c>
      <c r="I77" s="193"/>
      <c r="J77" s="193"/>
      <c r="N77" s="154">
        <f>SUM(N7,N11,N14,N17,N20,N23,N25,N30,N35,N41,N45,N50,N55,N72,N74)</f>
        <v>133695.401</v>
      </c>
      <c r="O77" s="92" t="e">
        <f>SUM(O8:O75)</f>
        <v>#REF!</v>
      </c>
      <c r="U77" s="188"/>
      <c r="V77" s="189"/>
      <c r="Y77"/>
    </row>
    <row r="78" spans="1:25" ht="14.25">
      <c r="A78" s="125"/>
      <c r="B78" s="125"/>
      <c r="C78" s="125"/>
      <c r="D78" s="10"/>
      <c r="E78" s="9"/>
      <c r="F78" s="188" t="s">
        <v>72</v>
      </c>
      <c r="G78" s="189"/>
      <c r="H78" s="192">
        <f>H79-H77</f>
        <v>44789.209</v>
      </c>
      <c r="I78" s="193"/>
      <c r="J78" s="193"/>
      <c r="N78" s="145"/>
      <c r="O78" t="e">
        <f>O77*G3</f>
        <v>#REF!</v>
      </c>
      <c r="U78" s="188"/>
      <c r="V78" s="189"/>
      <c r="Y78"/>
    </row>
    <row r="79" spans="1:25" ht="14.25">
      <c r="A79" s="125"/>
      <c r="B79" s="125"/>
      <c r="C79" s="125"/>
      <c r="D79" s="10"/>
      <c r="E79" s="9"/>
      <c r="F79" s="188" t="s">
        <v>71</v>
      </c>
      <c r="G79" s="189"/>
      <c r="H79" s="192">
        <f>SUM(I7,I11,I14,I17,I20,I23,I25,I30,I35,I41,I45,I50,I55,I72,I74)</f>
        <v>178484.61000000002</v>
      </c>
      <c r="I79" s="193"/>
      <c r="J79" s="193"/>
      <c r="N79" s="145"/>
      <c r="U79" s="188"/>
      <c r="V79" s="189"/>
      <c r="Y79"/>
    </row>
    <row r="80" spans="1:25" ht="70.15" customHeight="1">
      <c r="A80" s="125"/>
      <c r="B80"/>
      <c r="C80"/>
      <c r="F80"/>
      <c r="G80"/>
      <c r="H80"/>
      <c r="I80"/>
      <c r="J80"/>
      <c r="N80" s="146"/>
      <c r="U80"/>
      <c r="V80"/>
      <c r="Y80"/>
    </row>
    <row r="81" spans="1:26" ht="14.25">
      <c r="A81" s="124"/>
      <c r="Z81" s="92"/>
    </row>
  </sheetData>
  <mergeCells count="16">
    <mergeCell ref="D1:F1"/>
    <mergeCell ref="U77:V77"/>
    <mergeCell ref="U78:V78"/>
    <mergeCell ref="U79:V79"/>
    <mergeCell ref="C2:D2"/>
    <mergeCell ref="C3:D3"/>
    <mergeCell ref="C4:D4"/>
    <mergeCell ref="A5:J5"/>
    <mergeCell ref="F79:G79"/>
    <mergeCell ref="H79:J79"/>
    <mergeCell ref="F77:G77"/>
    <mergeCell ref="H77:J77"/>
    <mergeCell ref="I4:J4"/>
    <mergeCell ref="F78:G78"/>
    <mergeCell ref="H78:J78"/>
    <mergeCell ref="H3:I3"/>
  </mergeCells>
  <printOptions horizontalCentered="1" verticalCentered="1"/>
  <pageMargins left="0.5118110236220472" right="0.5118110236220472" top="1.6535433070866143" bottom="0.984251968503937" header="0.5118110236220472" footer="0.5118110236220472"/>
  <pageSetup fitToHeight="0" fitToWidth="1" horizontalDpi="600" verticalDpi="600" orientation="landscape" paperSize="9" scale="75" r:id="rId2"/>
  <headerFooter>
    <oddHeader>&amp;L &amp;C &amp;G</oddHeader>
    <oddFooter>&amp;CPágina &amp;P de &amp;N</oddFooter>
  </headerFooter>
  <rowBreaks count="2" manualBreakCount="2">
    <brk id="59" max="16383" man="1"/>
    <brk id="79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"/>
  <sheetViews>
    <sheetView view="pageBreakPreview" zoomScaleSheetLayoutView="100" workbookViewId="0" topLeftCell="A1">
      <selection activeCell="F11" sqref="F11"/>
    </sheetView>
  </sheetViews>
  <sheetFormatPr defaultColWidth="9.00390625" defaultRowHeight="14.25"/>
  <cols>
    <col min="1" max="1" width="5.625" style="117" customWidth="1"/>
    <col min="2" max="2" width="36.625" style="0" customWidth="1"/>
    <col min="3" max="3" width="20.00390625" style="31" bestFit="1" customWidth="1"/>
    <col min="4" max="28" width="12.00390625" style="0" bestFit="1" customWidth="1"/>
  </cols>
  <sheetData>
    <row r="1" spans="1:9" ht="89.45" customHeight="1">
      <c r="A1" s="196" t="str">
        <f>RESUMO!$A$1</f>
        <v xml:space="preserve">ESTADO DO PARÁ
CAMARA MUNICIPAL DE OUREM
CNPJ: 05.361.845/0001-26
</v>
      </c>
      <c r="B1" s="196"/>
      <c r="C1" s="196"/>
      <c r="D1" s="196"/>
      <c r="E1" s="196"/>
      <c r="F1" s="196"/>
      <c r="G1" s="196"/>
      <c r="H1" s="33"/>
      <c r="I1" s="33"/>
    </row>
    <row r="2" spans="1:9" ht="15">
      <c r="A2" s="18"/>
      <c r="B2" s="175" t="s">
        <v>36</v>
      </c>
      <c r="C2" s="175"/>
      <c r="D2" s="175"/>
      <c r="E2" s="93" t="str">
        <f>'planilha CÂMARA'!G2</f>
        <v>B.D.I.</v>
      </c>
      <c r="F2" s="29"/>
      <c r="G2" s="12"/>
      <c r="H2" s="12"/>
      <c r="I2" s="12"/>
    </row>
    <row r="3" spans="1:9" ht="15">
      <c r="A3" s="18"/>
      <c r="B3" s="12"/>
      <c r="C3" s="20"/>
      <c r="D3" s="12"/>
      <c r="E3" s="113">
        <f>RESUMO!$H$5</f>
        <v>0.2882</v>
      </c>
      <c r="F3" s="12"/>
      <c r="G3" s="12"/>
      <c r="H3" s="198"/>
      <c r="I3" s="12"/>
    </row>
    <row r="4" spans="1:9" ht="14.25">
      <c r="A4" s="118"/>
      <c r="B4" s="176" t="str">
        <f>RESUMO!$D$5</f>
        <v>ADEQUAÇÃO DE UM PRÉDIO PÚBLICO DA CÂMARA MUNICIPAL DE OUREM</v>
      </c>
      <c r="C4" s="176"/>
      <c r="D4" s="176"/>
      <c r="E4" s="176"/>
      <c r="F4" s="176"/>
      <c r="G4" s="26"/>
      <c r="H4" s="198"/>
      <c r="I4" s="30"/>
    </row>
    <row r="5" spans="1:9" ht="14.25" customHeight="1">
      <c r="A5" s="118"/>
      <c r="B5" s="177" t="str">
        <f>RESUMO!$D$6</f>
        <v>ENDEREÇO: SEDE DO MUNICÍPIO DE OUREM/PA</v>
      </c>
      <c r="C5" s="177"/>
      <c r="D5" s="177"/>
      <c r="E5" s="177"/>
      <c r="F5" s="177"/>
      <c r="H5" s="13"/>
      <c r="I5" s="13"/>
    </row>
    <row r="6" spans="1:8" ht="14.25">
      <c r="A6" s="119"/>
      <c r="B6" s="8"/>
      <c r="C6" s="34"/>
      <c r="D6" s="8"/>
      <c r="F6" s="176" t="str">
        <f>RESUMO!$D$8</f>
        <v>DATA: OUTUBRO DE 2023</v>
      </c>
      <c r="G6" s="169"/>
      <c r="H6" s="8"/>
    </row>
    <row r="7" spans="1:7" ht="15" customHeight="1">
      <c r="A7" s="200" t="s">
        <v>25</v>
      </c>
      <c r="B7" s="200"/>
      <c r="C7" s="200"/>
      <c r="D7" s="200"/>
      <c r="E7" s="200"/>
      <c r="F7" s="200"/>
      <c r="G7" s="200"/>
    </row>
    <row r="8" spans="1:7" ht="14.25">
      <c r="A8" s="120" t="s">
        <v>2</v>
      </c>
      <c r="B8" s="14" t="s">
        <v>5</v>
      </c>
      <c r="C8" s="71" t="s">
        <v>26</v>
      </c>
      <c r="D8" s="78" t="s">
        <v>27</v>
      </c>
      <c r="E8" s="78" t="s">
        <v>28</v>
      </c>
      <c r="F8" s="78" t="s">
        <v>29</v>
      </c>
      <c r="G8" s="78" t="s">
        <v>30</v>
      </c>
    </row>
    <row r="9" spans="1:7" ht="15" thickBot="1">
      <c r="A9" s="121" t="s">
        <v>12</v>
      </c>
      <c r="B9" s="16" t="str">
        <f>'planilha CÂMARA'!$D$7</f>
        <v>SERVIÇOS PRELIMINARES</v>
      </c>
      <c r="C9" s="80">
        <f>'planilha CÂMARA'!$I$7</f>
        <v>10772.22</v>
      </c>
      <c r="D9" s="81">
        <f>C9/1</f>
        <v>10772.22</v>
      </c>
      <c r="E9" s="82" t="s">
        <v>31</v>
      </c>
      <c r="F9" s="82" t="s">
        <v>31</v>
      </c>
      <c r="G9" s="82" t="s">
        <v>31</v>
      </c>
    </row>
    <row r="10" spans="1:7" ht="15.75" thickBot="1" thickTop="1">
      <c r="A10" s="121" t="s">
        <v>17</v>
      </c>
      <c r="B10" s="16" t="str">
        <f>'planilha CÂMARA'!$D$11</f>
        <v>DEMOLIÇÃO E RETIRADA</v>
      </c>
      <c r="C10" s="80">
        <f>'planilha CÂMARA'!$I$11</f>
        <v>581.34</v>
      </c>
      <c r="D10" s="81">
        <f aca="true" t="shared" si="0" ref="D10:D12">C10</f>
        <v>581.34</v>
      </c>
      <c r="E10" s="109"/>
      <c r="F10" s="82" t="s">
        <v>31</v>
      </c>
      <c r="G10" s="82" t="s">
        <v>31</v>
      </c>
    </row>
    <row r="11" spans="1:7" ht="15.75" thickBot="1" thickTop="1">
      <c r="A11" s="121" t="s">
        <v>18</v>
      </c>
      <c r="B11" s="16" t="str">
        <f>'planilha CÂMARA'!$D$14</f>
        <v>MOVIMENTO DE TERRA</v>
      </c>
      <c r="C11" s="80">
        <f>'planilha CÂMARA'!$I$14</f>
        <v>214.6</v>
      </c>
      <c r="D11" s="81">
        <f t="shared" si="0"/>
        <v>214.6</v>
      </c>
      <c r="E11" s="109"/>
      <c r="F11" s="82" t="s">
        <v>31</v>
      </c>
      <c r="G11" s="82" t="s">
        <v>31</v>
      </c>
    </row>
    <row r="12" spans="1:6" ht="15.75" thickBot="1" thickTop="1">
      <c r="A12" s="121">
        <v>4</v>
      </c>
      <c r="B12" s="16" t="str">
        <f>'planilha CÂMARA'!$D$17</f>
        <v>FUNDAÇÕES</v>
      </c>
      <c r="C12" s="80">
        <f>'planilha CÂMARA'!$I$17</f>
        <v>8241.93</v>
      </c>
      <c r="D12" s="81">
        <f t="shared" si="0"/>
        <v>8241.93</v>
      </c>
      <c r="E12" s="110"/>
      <c r="F12" s="111"/>
    </row>
    <row r="13" spans="1:6" ht="15.75" thickBot="1" thickTop="1">
      <c r="A13" s="121">
        <v>5</v>
      </c>
      <c r="B13" s="16" t="str">
        <f>'planilha CÂMARA'!$D$20</f>
        <v>ESTRUTURA</v>
      </c>
      <c r="C13" s="80">
        <f>'planilha CÂMARA'!$I$20</f>
        <v>15225.019999999999</v>
      </c>
      <c r="D13" s="81">
        <f>C13</f>
        <v>15225.019999999999</v>
      </c>
      <c r="E13" s="157"/>
      <c r="F13" s="157"/>
    </row>
    <row r="14" spans="1:7" ht="15.75" thickBot="1" thickTop="1">
      <c r="A14" s="121">
        <v>6</v>
      </c>
      <c r="B14" s="16" t="str">
        <f>'planilha CÂMARA'!$D$23</f>
        <v>PAREDES E PAINEIS</v>
      </c>
      <c r="C14" s="80">
        <f>'planilha CÂMARA'!$I$23</f>
        <v>11453.37</v>
      </c>
      <c r="D14" s="82" t="s">
        <v>31</v>
      </c>
      <c r="E14" s="81">
        <f>C14*100%</f>
        <v>11453.37</v>
      </c>
      <c r="F14" s="81"/>
      <c r="G14" s="156"/>
    </row>
    <row r="15" spans="1:7" ht="15.75" thickBot="1" thickTop="1">
      <c r="A15" s="121">
        <v>7</v>
      </c>
      <c r="B15" s="16" t="str">
        <f>'planilha CÂMARA'!$D$25</f>
        <v>COBERTURA</v>
      </c>
      <c r="C15" s="80">
        <f>'planilha CÂMARA'!$I$25</f>
        <v>21776.21</v>
      </c>
      <c r="D15" s="82" t="s">
        <v>31</v>
      </c>
      <c r="E15" s="81">
        <f>C15*80%</f>
        <v>17420.968</v>
      </c>
      <c r="F15" s="81">
        <f>C15*20%</f>
        <v>4355.242</v>
      </c>
      <c r="G15" s="158" t="s">
        <v>31</v>
      </c>
    </row>
    <row r="16" spans="1:7" ht="15.75" thickBot="1" thickTop="1">
      <c r="A16" s="121">
        <v>8</v>
      </c>
      <c r="B16" s="16" t="str">
        <f>'planilha CÂMARA'!$D$30</f>
        <v xml:space="preserve">REVESTIMENTOS </v>
      </c>
      <c r="C16" s="80">
        <f>'planilha CÂMARA'!$I$30</f>
        <v>24243.1</v>
      </c>
      <c r="D16" s="82" t="s">
        <v>31</v>
      </c>
      <c r="E16" s="81">
        <f>C16*60%</f>
        <v>14545.859999999999</v>
      </c>
      <c r="F16" s="81">
        <f>C16*40%</f>
        <v>9697.24</v>
      </c>
      <c r="G16" s="157"/>
    </row>
    <row r="17" spans="1:7" ht="15.75" thickBot="1" thickTop="1">
      <c r="A17" s="121">
        <v>9</v>
      </c>
      <c r="B17" s="16" t="str">
        <f>'planilha CÂMARA'!$D$35</f>
        <v>PISO</v>
      </c>
      <c r="C17" s="80">
        <f>'planilha CÂMARA'!$I$35</f>
        <v>15025.29</v>
      </c>
      <c r="D17" s="82"/>
      <c r="E17" s="81">
        <f>C17*70%</f>
        <v>10517.703</v>
      </c>
      <c r="F17" s="81">
        <f>C17*30%</f>
        <v>4507.587</v>
      </c>
      <c r="G17" s="156"/>
    </row>
    <row r="18" spans="1:7" ht="15.75" thickBot="1" thickTop="1">
      <c r="A18" s="121">
        <v>10</v>
      </c>
      <c r="B18" s="16" t="str">
        <f>'planilha CÂMARA'!$D$41</f>
        <v>ESQUADRIAS</v>
      </c>
      <c r="C18" s="80">
        <f>'planilha CÂMARA'!$I$41</f>
        <v>9257.46</v>
      </c>
      <c r="D18" s="82"/>
      <c r="E18" s="82"/>
      <c r="F18" s="81">
        <f>C18*100%</f>
        <v>9257.46</v>
      </c>
      <c r="G18" s="156"/>
    </row>
    <row r="19" spans="1:7" ht="15.75" thickBot="1" thickTop="1">
      <c r="A19" s="121">
        <v>11</v>
      </c>
      <c r="B19" s="16" t="str">
        <f>'planilha CÂMARA'!$D$45</f>
        <v>PINTURAS E ACABAMENTOS</v>
      </c>
      <c r="C19" s="80">
        <f>'planilha CÂMARA'!$I$45</f>
        <v>35602.329999999994</v>
      </c>
      <c r="D19" s="82"/>
      <c r="E19" s="82"/>
      <c r="F19" s="159"/>
      <c r="G19" s="81">
        <f>C19*100%</f>
        <v>35602.329999999994</v>
      </c>
    </row>
    <row r="20" spans="1:7" ht="15.75" thickBot="1" thickTop="1">
      <c r="A20" s="121">
        <v>12</v>
      </c>
      <c r="B20" s="16" t="str">
        <f>'planilha CÂMARA'!$D$50</f>
        <v>INSTALAÇÕES ELÉTRICAS</v>
      </c>
      <c r="C20" s="80">
        <f>'planilha CÂMARA'!$I$50</f>
        <v>4235.35</v>
      </c>
      <c r="D20" s="82"/>
      <c r="E20" s="81">
        <f>C20*60%</f>
        <v>2541.21</v>
      </c>
      <c r="F20" s="81">
        <f>C20*40%</f>
        <v>1694.1400000000003</v>
      </c>
      <c r="G20" s="160"/>
    </row>
    <row r="21" spans="1:7" ht="15.75" thickBot="1" thickTop="1">
      <c r="A21" s="121">
        <v>13</v>
      </c>
      <c r="B21" s="16" t="str">
        <f>'planilha CÂMARA'!$D$55</f>
        <v>INSTALAÇÕES HIDROSANITÁRIAS</v>
      </c>
      <c r="C21" s="80">
        <f>'planilha CÂMARA'!$I$55</f>
        <v>13552.51</v>
      </c>
      <c r="D21" s="82"/>
      <c r="E21" s="81">
        <f>C21*50%</f>
        <v>6776.255</v>
      </c>
      <c r="F21" s="81">
        <f>C21*40%</f>
        <v>5421.004000000001</v>
      </c>
      <c r="G21" s="81">
        <f>C21*10%</f>
        <v>1355.2510000000002</v>
      </c>
    </row>
    <row r="22" spans="1:7" ht="15.75" thickBot="1" thickTop="1">
      <c r="A22" s="121">
        <v>14</v>
      </c>
      <c r="B22" s="16" t="str">
        <f>'planilha CÂMARA'!$D$72</f>
        <v>OUTROS</v>
      </c>
      <c r="C22" s="80">
        <f>'planilha CÂMARA'!$I$72</f>
        <v>1662.63</v>
      </c>
      <c r="D22" s="82" t="s">
        <v>31</v>
      </c>
      <c r="E22" s="82" t="s">
        <v>31</v>
      </c>
      <c r="F22" s="81">
        <f>C22*40%</f>
        <v>665.0520000000001</v>
      </c>
      <c r="G22" s="81">
        <f>C22*60%</f>
        <v>997.578</v>
      </c>
    </row>
    <row r="23" spans="1:7" ht="15.75" thickBot="1" thickTop="1">
      <c r="A23" s="121">
        <v>15</v>
      </c>
      <c r="B23" s="16" t="str">
        <f>'planilha CÂMARA'!$D$74</f>
        <v>SERVIÇOS FINAIS</v>
      </c>
      <c r="C23" s="80">
        <f>'planilha CÂMARA'!$I$74</f>
        <v>6641.25</v>
      </c>
      <c r="D23" s="82" t="s">
        <v>31</v>
      </c>
      <c r="E23" s="82" t="s">
        <v>31</v>
      </c>
      <c r="F23" s="82" t="s">
        <v>31</v>
      </c>
      <c r="G23" s="81">
        <f>C23*100%</f>
        <v>6641.25</v>
      </c>
    </row>
    <row r="24" spans="1:7" ht="15" customHeight="1" thickTop="1">
      <c r="A24" s="122"/>
      <c r="B24" s="83" t="s">
        <v>70</v>
      </c>
      <c r="C24" s="84">
        <f>SUM(C9:C23)</f>
        <v>178484.61000000002</v>
      </c>
      <c r="D24" s="85"/>
      <c r="E24" s="85"/>
      <c r="F24" s="85"/>
      <c r="G24" s="85"/>
    </row>
    <row r="25" spans="1:7" ht="14.25">
      <c r="A25" s="199" t="s">
        <v>32</v>
      </c>
      <c r="B25" s="199"/>
      <c r="C25" s="15"/>
      <c r="D25" s="79">
        <f>SUM(D9:D23)/C24</f>
        <v>0.19629205005406347</v>
      </c>
      <c r="E25" s="79">
        <f>SUM(E9:E23)/C24</f>
        <v>0.3544023543542493</v>
      </c>
      <c r="F25" s="79">
        <f>SUM(F9:F23)/C24</f>
        <v>0.1994442265918613</v>
      </c>
      <c r="G25" s="79">
        <f>SUM(G9:G23)/C24</f>
        <v>0.24986136899982575</v>
      </c>
    </row>
    <row r="26" spans="1:7" ht="14.25" customHeight="1">
      <c r="A26" s="199" t="s">
        <v>33</v>
      </c>
      <c r="B26" s="199"/>
      <c r="C26" s="15"/>
      <c r="D26" s="72">
        <f>SUM(D9:D23)</f>
        <v>35035.11</v>
      </c>
      <c r="E26" s="72">
        <f>SUM(E9:E23)</f>
        <v>63255.366</v>
      </c>
      <c r="F26" s="72">
        <f>SUM(F9:F23)</f>
        <v>35597.725</v>
      </c>
      <c r="G26" s="72">
        <f>SUM(G9:G23)</f>
        <v>44596.40899999999</v>
      </c>
    </row>
    <row r="27" spans="1:7" ht="14.25" customHeight="1">
      <c r="A27" s="199" t="s">
        <v>34</v>
      </c>
      <c r="B27" s="199"/>
      <c r="C27" s="15"/>
      <c r="D27" s="79">
        <f>D25</f>
        <v>0.19629205005406347</v>
      </c>
      <c r="E27" s="79">
        <f aca="true" t="shared" si="1" ref="E27:F28">D27+E25</f>
        <v>0.5506944044083129</v>
      </c>
      <c r="F27" s="79">
        <f t="shared" si="1"/>
        <v>0.7501386310001742</v>
      </c>
      <c r="G27" s="79">
        <f>F27+G25</f>
        <v>1</v>
      </c>
    </row>
    <row r="28" spans="1:7" ht="14.25">
      <c r="A28" s="199" t="s">
        <v>35</v>
      </c>
      <c r="B28" s="199"/>
      <c r="C28" s="15"/>
      <c r="D28" s="72">
        <f>D26</f>
        <v>35035.11</v>
      </c>
      <c r="E28" s="72">
        <f t="shared" si="1"/>
        <v>98290.476</v>
      </c>
      <c r="F28" s="72">
        <f t="shared" si="1"/>
        <v>133888.201</v>
      </c>
      <c r="G28" s="72">
        <f>F28+G26</f>
        <v>178484.61</v>
      </c>
    </row>
    <row r="29" spans="1:7" ht="14.25">
      <c r="A29" s="197" t="s">
        <v>96</v>
      </c>
      <c r="B29" s="169"/>
      <c r="C29" s="169"/>
      <c r="D29" s="169"/>
      <c r="E29" s="169"/>
      <c r="F29" s="169"/>
      <c r="G29" s="169"/>
    </row>
  </sheetData>
  <mergeCells count="12">
    <mergeCell ref="A1:G1"/>
    <mergeCell ref="B2:D2"/>
    <mergeCell ref="B4:F4"/>
    <mergeCell ref="A29:G29"/>
    <mergeCell ref="H3:H4"/>
    <mergeCell ref="A25:B25"/>
    <mergeCell ref="A26:B26"/>
    <mergeCell ref="A27:B27"/>
    <mergeCell ref="B5:F5"/>
    <mergeCell ref="A7:G7"/>
    <mergeCell ref="A28:B28"/>
    <mergeCell ref="F6:G6"/>
  </mergeCells>
  <printOptions horizontalCentered="1"/>
  <pageMargins left="0.5118110236220472" right="0.5118110236220472" top="1.3779527559055118" bottom="0.7874015748031497" header="0.31496062992125984" footer="0.31496062992125984"/>
  <pageSetup horizontalDpi="600" verticalDpi="600" orientation="landscape" paperSize="9" scale="85" r:id="rId2"/>
  <headerFooter>
    <oddHeader>&amp;C&amp;G</oddHeader>
    <oddFooter>&amp;CPágina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view="pageBreakPreview" zoomScaleSheetLayoutView="100" workbookViewId="0" topLeftCell="A1">
      <selection activeCell="F17" sqref="F17"/>
    </sheetView>
  </sheetViews>
  <sheetFormatPr defaultColWidth="9.00390625" defaultRowHeight="14.25"/>
  <cols>
    <col min="1" max="1" width="4.625" style="40" customWidth="1"/>
    <col min="2" max="2" width="3.25390625" style="40" customWidth="1"/>
    <col min="3" max="3" width="7.625" style="40" customWidth="1"/>
    <col min="4" max="4" width="28.00390625" style="40" customWidth="1"/>
    <col min="5" max="5" width="2.25390625" style="40" customWidth="1"/>
    <col min="6" max="6" width="6.125" style="40" customWidth="1"/>
    <col min="7" max="7" width="2.00390625" style="40" bestFit="1" customWidth="1"/>
    <col min="8" max="8" width="2.00390625" style="40" customWidth="1"/>
    <col min="9" max="9" width="5.375" style="40" customWidth="1"/>
    <col min="10" max="10" width="3.25390625" style="40" customWidth="1"/>
    <col min="11" max="11" width="7.75390625" style="40" customWidth="1"/>
    <col min="12" max="12" width="4.625" style="40" customWidth="1"/>
    <col min="13" max="13" width="8.75390625" style="40" bestFit="1" customWidth="1"/>
    <col min="14" max="14" width="20.00390625" style="41" customWidth="1"/>
    <col min="15" max="256" width="8.75390625" style="40" customWidth="1"/>
    <col min="257" max="257" width="3.25390625" style="40" customWidth="1"/>
    <col min="258" max="258" width="6.00390625" style="40" customWidth="1"/>
    <col min="259" max="259" width="28.00390625" style="40" customWidth="1"/>
    <col min="260" max="260" width="2.25390625" style="40" customWidth="1"/>
    <col min="261" max="261" width="6.125" style="40" customWidth="1"/>
    <col min="262" max="262" width="2.00390625" style="40" bestFit="1" customWidth="1"/>
    <col min="263" max="263" width="2.00390625" style="40" customWidth="1"/>
    <col min="264" max="264" width="5.375" style="40" customWidth="1"/>
    <col min="265" max="265" width="3.25390625" style="40" customWidth="1"/>
    <col min="266" max="266" width="7.75390625" style="40" customWidth="1"/>
    <col min="267" max="267" width="2.00390625" style="40" bestFit="1" customWidth="1"/>
    <col min="268" max="268" width="3.25390625" style="40" customWidth="1"/>
    <col min="269" max="269" width="8.75390625" style="40" bestFit="1" customWidth="1"/>
    <col min="270" max="270" width="20.00390625" style="40" customWidth="1"/>
    <col min="271" max="512" width="8.75390625" style="40" customWidth="1"/>
    <col min="513" max="513" width="3.25390625" style="40" customWidth="1"/>
    <col min="514" max="514" width="6.00390625" style="40" customWidth="1"/>
    <col min="515" max="515" width="28.00390625" style="40" customWidth="1"/>
    <col min="516" max="516" width="2.25390625" style="40" customWidth="1"/>
    <col min="517" max="517" width="6.125" style="40" customWidth="1"/>
    <col min="518" max="518" width="2.00390625" style="40" bestFit="1" customWidth="1"/>
    <col min="519" max="519" width="2.00390625" style="40" customWidth="1"/>
    <col min="520" max="520" width="5.375" style="40" customWidth="1"/>
    <col min="521" max="521" width="3.25390625" style="40" customWidth="1"/>
    <col min="522" max="522" width="7.75390625" style="40" customWidth="1"/>
    <col min="523" max="523" width="2.00390625" style="40" bestFit="1" customWidth="1"/>
    <col min="524" max="524" width="3.25390625" style="40" customWidth="1"/>
    <col min="525" max="525" width="8.75390625" style="40" bestFit="1" customWidth="1"/>
    <col min="526" max="526" width="20.00390625" style="40" customWidth="1"/>
    <col min="527" max="768" width="8.75390625" style="40" customWidth="1"/>
    <col min="769" max="769" width="3.25390625" style="40" customWidth="1"/>
    <col min="770" max="770" width="6.00390625" style="40" customWidth="1"/>
    <col min="771" max="771" width="28.00390625" style="40" customWidth="1"/>
    <col min="772" max="772" width="2.25390625" style="40" customWidth="1"/>
    <col min="773" max="773" width="6.125" style="40" customWidth="1"/>
    <col min="774" max="774" width="2.00390625" style="40" bestFit="1" customWidth="1"/>
    <col min="775" max="775" width="2.00390625" style="40" customWidth="1"/>
    <col min="776" max="776" width="5.375" style="40" customWidth="1"/>
    <col min="777" max="777" width="3.25390625" style="40" customWidth="1"/>
    <col min="778" max="778" width="7.75390625" style="40" customWidth="1"/>
    <col min="779" max="779" width="2.00390625" style="40" bestFit="1" customWidth="1"/>
    <col min="780" max="780" width="3.25390625" style="40" customWidth="1"/>
    <col min="781" max="781" width="8.75390625" style="40" bestFit="1" customWidth="1"/>
    <col min="782" max="782" width="20.00390625" style="40" customWidth="1"/>
    <col min="783" max="1024" width="8.75390625" style="40" customWidth="1"/>
    <col min="1025" max="1025" width="3.25390625" style="40" customWidth="1"/>
    <col min="1026" max="1026" width="6.00390625" style="40" customWidth="1"/>
    <col min="1027" max="1027" width="28.00390625" style="40" customWidth="1"/>
    <col min="1028" max="1028" width="2.25390625" style="40" customWidth="1"/>
    <col min="1029" max="1029" width="6.125" style="40" customWidth="1"/>
    <col min="1030" max="1030" width="2.00390625" style="40" bestFit="1" customWidth="1"/>
    <col min="1031" max="1031" width="2.00390625" style="40" customWidth="1"/>
    <col min="1032" max="1032" width="5.375" style="40" customWidth="1"/>
    <col min="1033" max="1033" width="3.25390625" style="40" customWidth="1"/>
    <col min="1034" max="1034" width="7.75390625" style="40" customWidth="1"/>
    <col min="1035" max="1035" width="2.00390625" style="40" bestFit="1" customWidth="1"/>
    <col min="1036" max="1036" width="3.25390625" style="40" customWidth="1"/>
    <col min="1037" max="1037" width="8.75390625" style="40" bestFit="1" customWidth="1"/>
    <col min="1038" max="1038" width="20.00390625" style="40" customWidth="1"/>
    <col min="1039" max="1280" width="8.75390625" style="40" customWidth="1"/>
    <col min="1281" max="1281" width="3.25390625" style="40" customWidth="1"/>
    <col min="1282" max="1282" width="6.00390625" style="40" customWidth="1"/>
    <col min="1283" max="1283" width="28.00390625" style="40" customWidth="1"/>
    <col min="1284" max="1284" width="2.25390625" style="40" customWidth="1"/>
    <col min="1285" max="1285" width="6.125" style="40" customWidth="1"/>
    <col min="1286" max="1286" width="2.00390625" style="40" bestFit="1" customWidth="1"/>
    <col min="1287" max="1287" width="2.00390625" style="40" customWidth="1"/>
    <col min="1288" max="1288" width="5.375" style="40" customWidth="1"/>
    <col min="1289" max="1289" width="3.25390625" style="40" customWidth="1"/>
    <col min="1290" max="1290" width="7.75390625" style="40" customWidth="1"/>
    <col min="1291" max="1291" width="2.00390625" style="40" bestFit="1" customWidth="1"/>
    <col min="1292" max="1292" width="3.25390625" style="40" customWidth="1"/>
    <col min="1293" max="1293" width="8.75390625" style="40" bestFit="1" customWidth="1"/>
    <col min="1294" max="1294" width="20.00390625" style="40" customWidth="1"/>
    <col min="1295" max="1536" width="8.75390625" style="40" customWidth="1"/>
    <col min="1537" max="1537" width="3.25390625" style="40" customWidth="1"/>
    <col min="1538" max="1538" width="6.00390625" style="40" customWidth="1"/>
    <col min="1539" max="1539" width="28.00390625" style="40" customWidth="1"/>
    <col min="1540" max="1540" width="2.25390625" style="40" customWidth="1"/>
    <col min="1541" max="1541" width="6.125" style="40" customWidth="1"/>
    <col min="1542" max="1542" width="2.00390625" style="40" bestFit="1" customWidth="1"/>
    <col min="1543" max="1543" width="2.00390625" style="40" customWidth="1"/>
    <col min="1544" max="1544" width="5.375" style="40" customWidth="1"/>
    <col min="1545" max="1545" width="3.25390625" style="40" customWidth="1"/>
    <col min="1546" max="1546" width="7.75390625" style="40" customWidth="1"/>
    <col min="1547" max="1547" width="2.00390625" style="40" bestFit="1" customWidth="1"/>
    <col min="1548" max="1548" width="3.25390625" style="40" customWidth="1"/>
    <col min="1549" max="1549" width="8.75390625" style="40" bestFit="1" customWidth="1"/>
    <col min="1550" max="1550" width="20.00390625" style="40" customWidth="1"/>
    <col min="1551" max="1792" width="8.75390625" style="40" customWidth="1"/>
    <col min="1793" max="1793" width="3.25390625" style="40" customWidth="1"/>
    <col min="1794" max="1794" width="6.00390625" style="40" customWidth="1"/>
    <col min="1795" max="1795" width="28.00390625" style="40" customWidth="1"/>
    <col min="1796" max="1796" width="2.25390625" style="40" customWidth="1"/>
    <col min="1797" max="1797" width="6.125" style="40" customWidth="1"/>
    <col min="1798" max="1798" width="2.00390625" style="40" bestFit="1" customWidth="1"/>
    <col min="1799" max="1799" width="2.00390625" style="40" customWidth="1"/>
    <col min="1800" max="1800" width="5.375" style="40" customWidth="1"/>
    <col min="1801" max="1801" width="3.25390625" style="40" customWidth="1"/>
    <col min="1802" max="1802" width="7.75390625" style="40" customWidth="1"/>
    <col min="1803" max="1803" width="2.00390625" style="40" bestFit="1" customWidth="1"/>
    <col min="1804" max="1804" width="3.25390625" style="40" customWidth="1"/>
    <col min="1805" max="1805" width="8.75390625" style="40" bestFit="1" customWidth="1"/>
    <col min="1806" max="1806" width="20.00390625" style="40" customWidth="1"/>
    <col min="1807" max="2048" width="8.75390625" style="40" customWidth="1"/>
    <col min="2049" max="2049" width="3.25390625" style="40" customWidth="1"/>
    <col min="2050" max="2050" width="6.00390625" style="40" customWidth="1"/>
    <col min="2051" max="2051" width="28.00390625" style="40" customWidth="1"/>
    <col min="2052" max="2052" width="2.25390625" style="40" customWidth="1"/>
    <col min="2053" max="2053" width="6.125" style="40" customWidth="1"/>
    <col min="2054" max="2054" width="2.00390625" style="40" bestFit="1" customWidth="1"/>
    <col min="2055" max="2055" width="2.00390625" style="40" customWidth="1"/>
    <col min="2056" max="2056" width="5.375" style="40" customWidth="1"/>
    <col min="2057" max="2057" width="3.25390625" style="40" customWidth="1"/>
    <col min="2058" max="2058" width="7.75390625" style="40" customWidth="1"/>
    <col min="2059" max="2059" width="2.00390625" style="40" bestFit="1" customWidth="1"/>
    <col min="2060" max="2060" width="3.25390625" style="40" customWidth="1"/>
    <col min="2061" max="2061" width="8.75390625" style="40" bestFit="1" customWidth="1"/>
    <col min="2062" max="2062" width="20.00390625" style="40" customWidth="1"/>
    <col min="2063" max="2304" width="8.75390625" style="40" customWidth="1"/>
    <col min="2305" max="2305" width="3.25390625" style="40" customWidth="1"/>
    <col min="2306" max="2306" width="6.00390625" style="40" customWidth="1"/>
    <col min="2307" max="2307" width="28.00390625" style="40" customWidth="1"/>
    <col min="2308" max="2308" width="2.25390625" style="40" customWidth="1"/>
    <col min="2309" max="2309" width="6.125" style="40" customWidth="1"/>
    <col min="2310" max="2310" width="2.00390625" style="40" bestFit="1" customWidth="1"/>
    <col min="2311" max="2311" width="2.00390625" style="40" customWidth="1"/>
    <col min="2312" max="2312" width="5.375" style="40" customWidth="1"/>
    <col min="2313" max="2313" width="3.25390625" style="40" customWidth="1"/>
    <col min="2314" max="2314" width="7.75390625" style="40" customWidth="1"/>
    <col min="2315" max="2315" width="2.00390625" style="40" bestFit="1" customWidth="1"/>
    <col min="2316" max="2316" width="3.25390625" style="40" customWidth="1"/>
    <col min="2317" max="2317" width="8.75390625" style="40" bestFit="1" customWidth="1"/>
    <col min="2318" max="2318" width="20.00390625" style="40" customWidth="1"/>
    <col min="2319" max="2560" width="8.75390625" style="40" customWidth="1"/>
    <col min="2561" max="2561" width="3.25390625" style="40" customWidth="1"/>
    <col min="2562" max="2562" width="6.00390625" style="40" customWidth="1"/>
    <col min="2563" max="2563" width="28.00390625" style="40" customWidth="1"/>
    <col min="2564" max="2564" width="2.25390625" style="40" customWidth="1"/>
    <col min="2565" max="2565" width="6.125" style="40" customWidth="1"/>
    <col min="2566" max="2566" width="2.00390625" style="40" bestFit="1" customWidth="1"/>
    <col min="2567" max="2567" width="2.00390625" style="40" customWidth="1"/>
    <col min="2568" max="2568" width="5.375" style="40" customWidth="1"/>
    <col min="2569" max="2569" width="3.25390625" style="40" customWidth="1"/>
    <col min="2570" max="2570" width="7.75390625" style="40" customWidth="1"/>
    <col min="2571" max="2571" width="2.00390625" style="40" bestFit="1" customWidth="1"/>
    <col min="2572" max="2572" width="3.25390625" style="40" customWidth="1"/>
    <col min="2573" max="2573" width="8.75390625" style="40" bestFit="1" customWidth="1"/>
    <col min="2574" max="2574" width="20.00390625" style="40" customWidth="1"/>
    <col min="2575" max="2816" width="8.75390625" style="40" customWidth="1"/>
    <col min="2817" max="2817" width="3.25390625" style="40" customWidth="1"/>
    <col min="2818" max="2818" width="6.00390625" style="40" customWidth="1"/>
    <col min="2819" max="2819" width="28.00390625" style="40" customWidth="1"/>
    <col min="2820" max="2820" width="2.25390625" style="40" customWidth="1"/>
    <col min="2821" max="2821" width="6.125" style="40" customWidth="1"/>
    <col min="2822" max="2822" width="2.00390625" style="40" bestFit="1" customWidth="1"/>
    <col min="2823" max="2823" width="2.00390625" style="40" customWidth="1"/>
    <col min="2824" max="2824" width="5.375" style="40" customWidth="1"/>
    <col min="2825" max="2825" width="3.25390625" style="40" customWidth="1"/>
    <col min="2826" max="2826" width="7.75390625" style="40" customWidth="1"/>
    <col min="2827" max="2827" width="2.00390625" style="40" bestFit="1" customWidth="1"/>
    <col min="2828" max="2828" width="3.25390625" style="40" customWidth="1"/>
    <col min="2829" max="2829" width="8.75390625" style="40" bestFit="1" customWidth="1"/>
    <col min="2830" max="2830" width="20.00390625" style="40" customWidth="1"/>
    <col min="2831" max="3072" width="8.75390625" style="40" customWidth="1"/>
    <col min="3073" max="3073" width="3.25390625" style="40" customWidth="1"/>
    <col min="3074" max="3074" width="6.00390625" style="40" customWidth="1"/>
    <col min="3075" max="3075" width="28.00390625" style="40" customWidth="1"/>
    <col min="3076" max="3076" width="2.25390625" style="40" customWidth="1"/>
    <col min="3077" max="3077" width="6.125" style="40" customWidth="1"/>
    <col min="3078" max="3078" width="2.00390625" style="40" bestFit="1" customWidth="1"/>
    <col min="3079" max="3079" width="2.00390625" style="40" customWidth="1"/>
    <col min="3080" max="3080" width="5.375" style="40" customWidth="1"/>
    <col min="3081" max="3081" width="3.25390625" style="40" customWidth="1"/>
    <col min="3082" max="3082" width="7.75390625" style="40" customWidth="1"/>
    <col min="3083" max="3083" width="2.00390625" style="40" bestFit="1" customWidth="1"/>
    <col min="3084" max="3084" width="3.25390625" style="40" customWidth="1"/>
    <col min="3085" max="3085" width="8.75390625" style="40" bestFit="1" customWidth="1"/>
    <col min="3086" max="3086" width="20.00390625" style="40" customWidth="1"/>
    <col min="3087" max="3328" width="8.75390625" style="40" customWidth="1"/>
    <col min="3329" max="3329" width="3.25390625" style="40" customWidth="1"/>
    <col min="3330" max="3330" width="6.00390625" style="40" customWidth="1"/>
    <col min="3331" max="3331" width="28.00390625" style="40" customWidth="1"/>
    <col min="3332" max="3332" width="2.25390625" style="40" customWidth="1"/>
    <col min="3333" max="3333" width="6.125" style="40" customWidth="1"/>
    <col min="3334" max="3334" width="2.00390625" style="40" bestFit="1" customWidth="1"/>
    <col min="3335" max="3335" width="2.00390625" style="40" customWidth="1"/>
    <col min="3336" max="3336" width="5.375" style="40" customWidth="1"/>
    <col min="3337" max="3337" width="3.25390625" style="40" customWidth="1"/>
    <col min="3338" max="3338" width="7.75390625" style="40" customWidth="1"/>
    <col min="3339" max="3339" width="2.00390625" style="40" bestFit="1" customWidth="1"/>
    <col min="3340" max="3340" width="3.25390625" style="40" customWidth="1"/>
    <col min="3341" max="3341" width="8.75390625" style="40" bestFit="1" customWidth="1"/>
    <col min="3342" max="3342" width="20.00390625" style="40" customWidth="1"/>
    <col min="3343" max="3584" width="8.75390625" style="40" customWidth="1"/>
    <col min="3585" max="3585" width="3.25390625" style="40" customWidth="1"/>
    <col min="3586" max="3586" width="6.00390625" style="40" customWidth="1"/>
    <col min="3587" max="3587" width="28.00390625" style="40" customWidth="1"/>
    <col min="3588" max="3588" width="2.25390625" style="40" customWidth="1"/>
    <col min="3589" max="3589" width="6.125" style="40" customWidth="1"/>
    <col min="3590" max="3590" width="2.00390625" style="40" bestFit="1" customWidth="1"/>
    <col min="3591" max="3591" width="2.00390625" style="40" customWidth="1"/>
    <col min="3592" max="3592" width="5.375" style="40" customWidth="1"/>
    <col min="3593" max="3593" width="3.25390625" style="40" customWidth="1"/>
    <col min="3594" max="3594" width="7.75390625" style="40" customWidth="1"/>
    <col min="3595" max="3595" width="2.00390625" style="40" bestFit="1" customWidth="1"/>
    <col min="3596" max="3596" width="3.25390625" style="40" customWidth="1"/>
    <col min="3597" max="3597" width="8.75390625" style="40" bestFit="1" customWidth="1"/>
    <col min="3598" max="3598" width="20.00390625" style="40" customWidth="1"/>
    <col min="3599" max="3840" width="8.75390625" style="40" customWidth="1"/>
    <col min="3841" max="3841" width="3.25390625" style="40" customWidth="1"/>
    <col min="3842" max="3842" width="6.00390625" style="40" customWidth="1"/>
    <col min="3843" max="3843" width="28.00390625" style="40" customWidth="1"/>
    <col min="3844" max="3844" width="2.25390625" style="40" customWidth="1"/>
    <col min="3845" max="3845" width="6.125" style="40" customWidth="1"/>
    <col min="3846" max="3846" width="2.00390625" style="40" bestFit="1" customWidth="1"/>
    <col min="3847" max="3847" width="2.00390625" style="40" customWidth="1"/>
    <col min="3848" max="3848" width="5.375" style="40" customWidth="1"/>
    <col min="3849" max="3849" width="3.25390625" style="40" customWidth="1"/>
    <col min="3850" max="3850" width="7.75390625" style="40" customWidth="1"/>
    <col min="3851" max="3851" width="2.00390625" style="40" bestFit="1" customWidth="1"/>
    <col min="3852" max="3852" width="3.25390625" style="40" customWidth="1"/>
    <col min="3853" max="3853" width="8.75390625" style="40" bestFit="1" customWidth="1"/>
    <col min="3854" max="3854" width="20.00390625" style="40" customWidth="1"/>
    <col min="3855" max="4096" width="8.75390625" style="40" customWidth="1"/>
    <col min="4097" max="4097" width="3.25390625" style="40" customWidth="1"/>
    <col min="4098" max="4098" width="6.00390625" style="40" customWidth="1"/>
    <col min="4099" max="4099" width="28.00390625" style="40" customWidth="1"/>
    <col min="4100" max="4100" width="2.25390625" style="40" customWidth="1"/>
    <col min="4101" max="4101" width="6.125" style="40" customWidth="1"/>
    <col min="4102" max="4102" width="2.00390625" style="40" bestFit="1" customWidth="1"/>
    <col min="4103" max="4103" width="2.00390625" style="40" customWidth="1"/>
    <col min="4104" max="4104" width="5.375" style="40" customWidth="1"/>
    <col min="4105" max="4105" width="3.25390625" style="40" customWidth="1"/>
    <col min="4106" max="4106" width="7.75390625" style="40" customWidth="1"/>
    <col min="4107" max="4107" width="2.00390625" style="40" bestFit="1" customWidth="1"/>
    <col min="4108" max="4108" width="3.25390625" style="40" customWidth="1"/>
    <col min="4109" max="4109" width="8.75390625" style="40" bestFit="1" customWidth="1"/>
    <col min="4110" max="4110" width="20.00390625" style="40" customWidth="1"/>
    <col min="4111" max="4352" width="8.75390625" style="40" customWidth="1"/>
    <col min="4353" max="4353" width="3.25390625" style="40" customWidth="1"/>
    <col min="4354" max="4354" width="6.00390625" style="40" customWidth="1"/>
    <col min="4355" max="4355" width="28.00390625" style="40" customWidth="1"/>
    <col min="4356" max="4356" width="2.25390625" style="40" customWidth="1"/>
    <col min="4357" max="4357" width="6.125" style="40" customWidth="1"/>
    <col min="4358" max="4358" width="2.00390625" style="40" bestFit="1" customWidth="1"/>
    <col min="4359" max="4359" width="2.00390625" style="40" customWidth="1"/>
    <col min="4360" max="4360" width="5.375" style="40" customWidth="1"/>
    <col min="4361" max="4361" width="3.25390625" style="40" customWidth="1"/>
    <col min="4362" max="4362" width="7.75390625" style="40" customWidth="1"/>
    <col min="4363" max="4363" width="2.00390625" style="40" bestFit="1" customWidth="1"/>
    <col min="4364" max="4364" width="3.25390625" style="40" customWidth="1"/>
    <col min="4365" max="4365" width="8.75390625" style="40" bestFit="1" customWidth="1"/>
    <col min="4366" max="4366" width="20.00390625" style="40" customWidth="1"/>
    <col min="4367" max="4608" width="8.75390625" style="40" customWidth="1"/>
    <col min="4609" max="4609" width="3.25390625" style="40" customWidth="1"/>
    <col min="4610" max="4610" width="6.00390625" style="40" customWidth="1"/>
    <col min="4611" max="4611" width="28.00390625" style="40" customWidth="1"/>
    <col min="4612" max="4612" width="2.25390625" style="40" customWidth="1"/>
    <col min="4613" max="4613" width="6.125" style="40" customWidth="1"/>
    <col min="4614" max="4614" width="2.00390625" style="40" bestFit="1" customWidth="1"/>
    <col min="4615" max="4615" width="2.00390625" style="40" customWidth="1"/>
    <col min="4616" max="4616" width="5.375" style="40" customWidth="1"/>
    <col min="4617" max="4617" width="3.25390625" style="40" customWidth="1"/>
    <col min="4618" max="4618" width="7.75390625" style="40" customWidth="1"/>
    <col min="4619" max="4619" width="2.00390625" style="40" bestFit="1" customWidth="1"/>
    <col min="4620" max="4620" width="3.25390625" style="40" customWidth="1"/>
    <col min="4621" max="4621" width="8.75390625" style="40" bestFit="1" customWidth="1"/>
    <col min="4622" max="4622" width="20.00390625" style="40" customWidth="1"/>
    <col min="4623" max="4864" width="8.75390625" style="40" customWidth="1"/>
    <col min="4865" max="4865" width="3.25390625" style="40" customWidth="1"/>
    <col min="4866" max="4866" width="6.00390625" style="40" customWidth="1"/>
    <col min="4867" max="4867" width="28.00390625" style="40" customWidth="1"/>
    <col min="4868" max="4868" width="2.25390625" style="40" customWidth="1"/>
    <col min="4869" max="4869" width="6.125" style="40" customWidth="1"/>
    <col min="4870" max="4870" width="2.00390625" style="40" bestFit="1" customWidth="1"/>
    <col min="4871" max="4871" width="2.00390625" style="40" customWidth="1"/>
    <col min="4872" max="4872" width="5.375" style="40" customWidth="1"/>
    <col min="4873" max="4873" width="3.25390625" style="40" customWidth="1"/>
    <col min="4874" max="4874" width="7.75390625" style="40" customWidth="1"/>
    <col min="4875" max="4875" width="2.00390625" style="40" bestFit="1" customWidth="1"/>
    <col min="4876" max="4876" width="3.25390625" style="40" customWidth="1"/>
    <col min="4877" max="4877" width="8.75390625" style="40" bestFit="1" customWidth="1"/>
    <col min="4878" max="4878" width="20.00390625" style="40" customWidth="1"/>
    <col min="4879" max="5120" width="8.75390625" style="40" customWidth="1"/>
    <col min="5121" max="5121" width="3.25390625" style="40" customWidth="1"/>
    <col min="5122" max="5122" width="6.00390625" style="40" customWidth="1"/>
    <col min="5123" max="5123" width="28.00390625" style="40" customWidth="1"/>
    <col min="5124" max="5124" width="2.25390625" style="40" customWidth="1"/>
    <col min="5125" max="5125" width="6.125" style="40" customWidth="1"/>
    <col min="5126" max="5126" width="2.00390625" style="40" bestFit="1" customWidth="1"/>
    <col min="5127" max="5127" width="2.00390625" style="40" customWidth="1"/>
    <col min="5128" max="5128" width="5.375" style="40" customWidth="1"/>
    <col min="5129" max="5129" width="3.25390625" style="40" customWidth="1"/>
    <col min="5130" max="5130" width="7.75390625" style="40" customWidth="1"/>
    <col min="5131" max="5131" width="2.00390625" style="40" bestFit="1" customWidth="1"/>
    <col min="5132" max="5132" width="3.25390625" style="40" customWidth="1"/>
    <col min="5133" max="5133" width="8.75390625" style="40" bestFit="1" customWidth="1"/>
    <col min="5134" max="5134" width="20.00390625" style="40" customWidth="1"/>
    <col min="5135" max="5376" width="8.75390625" style="40" customWidth="1"/>
    <col min="5377" max="5377" width="3.25390625" style="40" customWidth="1"/>
    <col min="5378" max="5378" width="6.00390625" style="40" customWidth="1"/>
    <col min="5379" max="5379" width="28.00390625" style="40" customWidth="1"/>
    <col min="5380" max="5380" width="2.25390625" style="40" customWidth="1"/>
    <col min="5381" max="5381" width="6.125" style="40" customWidth="1"/>
    <col min="5382" max="5382" width="2.00390625" style="40" bestFit="1" customWidth="1"/>
    <col min="5383" max="5383" width="2.00390625" style="40" customWidth="1"/>
    <col min="5384" max="5384" width="5.375" style="40" customWidth="1"/>
    <col min="5385" max="5385" width="3.25390625" style="40" customWidth="1"/>
    <col min="5386" max="5386" width="7.75390625" style="40" customWidth="1"/>
    <col min="5387" max="5387" width="2.00390625" style="40" bestFit="1" customWidth="1"/>
    <col min="5388" max="5388" width="3.25390625" style="40" customWidth="1"/>
    <col min="5389" max="5389" width="8.75390625" style="40" bestFit="1" customWidth="1"/>
    <col min="5390" max="5390" width="20.00390625" style="40" customWidth="1"/>
    <col min="5391" max="5632" width="8.75390625" style="40" customWidth="1"/>
    <col min="5633" max="5633" width="3.25390625" style="40" customWidth="1"/>
    <col min="5634" max="5634" width="6.00390625" style="40" customWidth="1"/>
    <col min="5635" max="5635" width="28.00390625" style="40" customWidth="1"/>
    <col min="5636" max="5636" width="2.25390625" style="40" customWidth="1"/>
    <col min="5637" max="5637" width="6.125" style="40" customWidth="1"/>
    <col min="5638" max="5638" width="2.00390625" style="40" bestFit="1" customWidth="1"/>
    <col min="5639" max="5639" width="2.00390625" style="40" customWidth="1"/>
    <col min="5640" max="5640" width="5.375" style="40" customWidth="1"/>
    <col min="5641" max="5641" width="3.25390625" style="40" customWidth="1"/>
    <col min="5642" max="5642" width="7.75390625" style="40" customWidth="1"/>
    <col min="5643" max="5643" width="2.00390625" style="40" bestFit="1" customWidth="1"/>
    <col min="5644" max="5644" width="3.25390625" style="40" customWidth="1"/>
    <col min="5645" max="5645" width="8.75390625" style="40" bestFit="1" customWidth="1"/>
    <col min="5646" max="5646" width="20.00390625" style="40" customWidth="1"/>
    <col min="5647" max="5888" width="8.75390625" style="40" customWidth="1"/>
    <col min="5889" max="5889" width="3.25390625" style="40" customWidth="1"/>
    <col min="5890" max="5890" width="6.00390625" style="40" customWidth="1"/>
    <col min="5891" max="5891" width="28.00390625" style="40" customWidth="1"/>
    <col min="5892" max="5892" width="2.25390625" style="40" customWidth="1"/>
    <col min="5893" max="5893" width="6.125" style="40" customWidth="1"/>
    <col min="5894" max="5894" width="2.00390625" style="40" bestFit="1" customWidth="1"/>
    <col min="5895" max="5895" width="2.00390625" style="40" customWidth="1"/>
    <col min="5896" max="5896" width="5.375" style="40" customWidth="1"/>
    <col min="5897" max="5897" width="3.25390625" style="40" customWidth="1"/>
    <col min="5898" max="5898" width="7.75390625" style="40" customWidth="1"/>
    <col min="5899" max="5899" width="2.00390625" style="40" bestFit="1" customWidth="1"/>
    <col min="5900" max="5900" width="3.25390625" style="40" customWidth="1"/>
    <col min="5901" max="5901" width="8.75390625" style="40" bestFit="1" customWidth="1"/>
    <col min="5902" max="5902" width="20.00390625" style="40" customWidth="1"/>
    <col min="5903" max="6144" width="8.75390625" style="40" customWidth="1"/>
    <col min="6145" max="6145" width="3.25390625" style="40" customWidth="1"/>
    <col min="6146" max="6146" width="6.00390625" style="40" customWidth="1"/>
    <col min="6147" max="6147" width="28.00390625" style="40" customWidth="1"/>
    <col min="6148" max="6148" width="2.25390625" style="40" customWidth="1"/>
    <col min="6149" max="6149" width="6.125" style="40" customWidth="1"/>
    <col min="6150" max="6150" width="2.00390625" style="40" bestFit="1" customWidth="1"/>
    <col min="6151" max="6151" width="2.00390625" style="40" customWidth="1"/>
    <col min="6152" max="6152" width="5.375" style="40" customWidth="1"/>
    <col min="6153" max="6153" width="3.25390625" style="40" customWidth="1"/>
    <col min="6154" max="6154" width="7.75390625" style="40" customWidth="1"/>
    <col min="6155" max="6155" width="2.00390625" style="40" bestFit="1" customWidth="1"/>
    <col min="6156" max="6156" width="3.25390625" style="40" customWidth="1"/>
    <col min="6157" max="6157" width="8.75390625" style="40" bestFit="1" customWidth="1"/>
    <col min="6158" max="6158" width="20.00390625" style="40" customWidth="1"/>
    <col min="6159" max="6400" width="8.75390625" style="40" customWidth="1"/>
    <col min="6401" max="6401" width="3.25390625" style="40" customWidth="1"/>
    <col min="6402" max="6402" width="6.00390625" style="40" customWidth="1"/>
    <col min="6403" max="6403" width="28.00390625" style="40" customWidth="1"/>
    <col min="6404" max="6404" width="2.25390625" style="40" customWidth="1"/>
    <col min="6405" max="6405" width="6.125" style="40" customWidth="1"/>
    <col min="6406" max="6406" width="2.00390625" style="40" bestFit="1" customWidth="1"/>
    <col min="6407" max="6407" width="2.00390625" style="40" customWidth="1"/>
    <col min="6408" max="6408" width="5.375" style="40" customWidth="1"/>
    <col min="6409" max="6409" width="3.25390625" style="40" customWidth="1"/>
    <col min="6410" max="6410" width="7.75390625" style="40" customWidth="1"/>
    <col min="6411" max="6411" width="2.00390625" style="40" bestFit="1" customWidth="1"/>
    <col min="6412" max="6412" width="3.25390625" style="40" customWidth="1"/>
    <col min="6413" max="6413" width="8.75390625" style="40" bestFit="1" customWidth="1"/>
    <col min="6414" max="6414" width="20.00390625" style="40" customWidth="1"/>
    <col min="6415" max="6656" width="8.75390625" style="40" customWidth="1"/>
    <col min="6657" max="6657" width="3.25390625" style="40" customWidth="1"/>
    <col min="6658" max="6658" width="6.00390625" style="40" customWidth="1"/>
    <col min="6659" max="6659" width="28.00390625" style="40" customWidth="1"/>
    <col min="6660" max="6660" width="2.25390625" style="40" customWidth="1"/>
    <col min="6661" max="6661" width="6.125" style="40" customWidth="1"/>
    <col min="6662" max="6662" width="2.00390625" style="40" bestFit="1" customWidth="1"/>
    <col min="6663" max="6663" width="2.00390625" style="40" customWidth="1"/>
    <col min="6664" max="6664" width="5.375" style="40" customWidth="1"/>
    <col min="6665" max="6665" width="3.25390625" style="40" customWidth="1"/>
    <col min="6666" max="6666" width="7.75390625" style="40" customWidth="1"/>
    <col min="6667" max="6667" width="2.00390625" style="40" bestFit="1" customWidth="1"/>
    <col min="6668" max="6668" width="3.25390625" style="40" customWidth="1"/>
    <col min="6669" max="6669" width="8.75390625" style="40" bestFit="1" customWidth="1"/>
    <col min="6670" max="6670" width="20.00390625" style="40" customWidth="1"/>
    <col min="6671" max="6912" width="8.75390625" style="40" customWidth="1"/>
    <col min="6913" max="6913" width="3.25390625" style="40" customWidth="1"/>
    <col min="6914" max="6914" width="6.00390625" style="40" customWidth="1"/>
    <col min="6915" max="6915" width="28.00390625" style="40" customWidth="1"/>
    <col min="6916" max="6916" width="2.25390625" style="40" customWidth="1"/>
    <col min="6917" max="6917" width="6.125" style="40" customWidth="1"/>
    <col min="6918" max="6918" width="2.00390625" style="40" bestFit="1" customWidth="1"/>
    <col min="6919" max="6919" width="2.00390625" style="40" customWidth="1"/>
    <col min="6920" max="6920" width="5.375" style="40" customWidth="1"/>
    <col min="6921" max="6921" width="3.25390625" style="40" customWidth="1"/>
    <col min="6922" max="6922" width="7.75390625" style="40" customWidth="1"/>
    <col min="6923" max="6923" width="2.00390625" style="40" bestFit="1" customWidth="1"/>
    <col min="6924" max="6924" width="3.25390625" style="40" customWidth="1"/>
    <col min="6925" max="6925" width="8.75390625" style="40" bestFit="1" customWidth="1"/>
    <col min="6926" max="6926" width="20.00390625" style="40" customWidth="1"/>
    <col min="6927" max="7168" width="8.75390625" style="40" customWidth="1"/>
    <col min="7169" max="7169" width="3.25390625" style="40" customWidth="1"/>
    <col min="7170" max="7170" width="6.00390625" style="40" customWidth="1"/>
    <col min="7171" max="7171" width="28.00390625" style="40" customWidth="1"/>
    <col min="7172" max="7172" width="2.25390625" style="40" customWidth="1"/>
    <col min="7173" max="7173" width="6.125" style="40" customWidth="1"/>
    <col min="7174" max="7174" width="2.00390625" style="40" bestFit="1" customWidth="1"/>
    <col min="7175" max="7175" width="2.00390625" style="40" customWidth="1"/>
    <col min="7176" max="7176" width="5.375" style="40" customWidth="1"/>
    <col min="7177" max="7177" width="3.25390625" style="40" customWidth="1"/>
    <col min="7178" max="7178" width="7.75390625" style="40" customWidth="1"/>
    <col min="7179" max="7179" width="2.00390625" style="40" bestFit="1" customWidth="1"/>
    <col min="7180" max="7180" width="3.25390625" style="40" customWidth="1"/>
    <col min="7181" max="7181" width="8.75390625" style="40" bestFit="1" customWidth="1"/>
    <col min="7182" max="7182" width="20.00390625" style="40" customWidth="1"/>
    <col min="7183" max="7424" width="8.75390625" style="40" customWidth="1"/>
    <col min="7425" max="7425" width="3.25390625" style="40" customWidth="1"/>
    <col min="7426" max="7426" width="6.00390625" style="40" customWidth="1"/>
    <col min="7427" max="7427" width="28.00390625" style="40" customWidth="1"/>
    <col min="7428" max="7428" width="2.25390625" style="40" customWidth="1"/>
    <col min="7429" max="7429" width="6.125" style="40" customWidth="1"/>
    <col min="7430" max="7430" width="2.00390625" style="40" bestFit="1" customWidth="1"/>
    <col min="7431" max="7431" width="2.00390625" style="40" customWidth="1"/>
    <col min="7432" max="7432" width="5.375" style="40" customWidth="1"/>
    <col min="7433" max="7433" width="3.25390625" style="40" customWidth="1"/>
    <col min="7434" max="7434" width="7.75390625" style="40" customWidth="1"/>
    <col min="7435" max="7435" width="2.00390625" style="40" bestFit="1" customWidth="1"/>
    <col min="7436" max="7436" width="3.25390625" style="40" customWidth="1"/>
    <col min="7437" max="7437" width="8.75390625" style="40" bestFit="1" customWidth="1"/>
    <col min="7438" max="7438" width="20.00390625" style="40" customWidth="1"/>
    <col min="7439" max="7680" width="8.75390625" style="40" customWidth="1"/>
    <col min="7681" max="7681" width="3.25390625" style="40" customWidth="1"/>
    <col min="7682" max="7682" width="6.00390625" style="40" customWidth="1"/>
    <col min="7683" max="7683" width="28.00390625" style="40" customWidth="1"/>
    <col min="7684" max="7684" width="2.25390625" style="40" customWidth="1"/>
    <col min="7685" max="7685" width="6.125" style="40" customWidth="1"/>
    <col min="7686" max="7686" width="2.00390625" style="40" bestFit="1" customWidth="1"/>
    <col min="7687" max="7687" width="2.00390625" style="40" customWidth="1"/>
    <col min="7688" max="7688" width="5.375" style="40" customWidth="1"/>
    <col min="7689" max="7689" width="3.25390625" style="40" customWidth="1"/>
    <col min="7690" max="7690" width="7.75390625" style="40" customWidth="1"/>
    <col min="7691" max="7691" width="2.00390625" style="40" bestFit="1" customWidth="1"/>
    <col min="7692" max="7692" width="3.25390625" style="40" customWidth="1"/>
    <col min="7693" max="7693" width="8.75390625" style="40" bestFit="1" customWidth="1"/>
    <col min="7694" max="7694" width="20.00390625" style="40" customWidth="1"/>
    <col min="7695" max="7936" width="8.75390625" style="40" customWidth="1"/>
    <col min="7937" max="7937" width="3.25390625" style="40" customWidth="1"/>
    <col min="7938" max="7938" width="6.00390625" style="40" customWidth="1"/>
    <col min="7939" max="7939" width="28.00390625" style="40" customWidth="1"/>
    <col min="7940" max="7940" width="2.25390625" style="40" customWidth="1"/>
    <col min="7941" max="7941" width="6.125" style="40" customWidth="1"/>
    <col min="7942" max="7942" width="2.00390625" style="40" bestFit="1" customWidth="1"/>
    <col min="7943" max="7943" width="2.00390625" style="40" customWidth="1"/>
    <col min="7944" max="7944" width="5.375" style="40" customWidth="1"/>
    <col min="7945" max="7945" width="3.25390625" style="40" customWidth="1"/>
    <col min="7946" max="7946" width="7.75390625" style="40" customWidth="1"/>
    <col min="7947" max="7947" width="2.00390625" style="40" bestFit="1" customWidth="1"/>
    <col min="7948" max="7948" width="3.25390625" style="40" customWidth="1"/>
    <col min="7949" max="7949" width="8.75390625" style="40" bestFit="1" customWidth="1"/>
    <col min="7950" max="7950" width="20.00390625" style="40" customWidth="1"/>
    <col min="7951" max="8192" width="8.75390625" style="40" customWidth="1"/>
    <col min="8193" max="8193" width="3.25390625" style="40" customWidth="1"/>
    <col min="8194" max="8194" width="6.00390625" style="40" customWidth="1"/>
    <col min="8195" max="8195" width="28.00390625" style="40" customWidth="1"/>
    <col min="8196" max="8196" width="2.25390625" style="40" customWidth="1"/>
    <col min="8197" max="8197" width="6.125" style="40" customWidth="1"/>
    <col min="8198" max="8198" width="2.00390625" style="40" bestFit="1" customWidth="1"/>
    <col min="8199" max="8199" width="2.00390625" style="40" customWidth="1"/>
    <col min="8200" max="8200" width="5.375" style="40" customWidth="1"/>
    <col min="8201" max="8201" width="3.25390625" style="40" customWidth="1"/>
    <col min="8202" max="8202" width="7.75390625" style="40" customWidth="1"/>
    <col min="8203" max="8203" width="2.00390625" style="40" bestFit="1" customWidth="1"/>
    <col min="8204" max="8204" width="3.25390625" style="40" customWidth="1"/>
    <col min="8205" max="8205" width="8.75390625" style="40" bestFit="1" customWidth="1"/>
    <col min="8206" max="8206" width="20.00390625" style="40" customWidth="1"/>
    <col min="8207" max="8448" width="8.75390625" style="40" customWidth="1"/>
    <col min="8449" max="8449" width="3.25390625" style="40" customWidth="1"/>
    <col min="8450" max="8450" width="6.00390625" style="40" customWidth="1"/>
    <col min="8451" max="8451" width="28.00390625" style="40" customWidth="1"/>
    <col min="8452" max="8452" width="2.25390625" style="40" customWidth="1"/>
    <col min="8453" max="8453" width="6.125" style="40" customWidth="1"/>
    <col min="8454" max="8454" width="2.00390625" style="40" bestFit="1" customWidth="1"/>
    <col min="8455" max="8455" width="2.00390625" style="40" customWidth="1"/>
    <col min="8456" max="8456" width="5.375" style="40" customWidth="1"/>
    <col min="8457" max="8457" width="3.25390625" style="40" customWidth="1"/>
    <col min="8458" max="8458" width="7.75390625" style="40" customWidth="1"/>
    <col min="8459" max="8459" width="2.00390625" style="40" bestFit="1" customWidth="1"/>
    <col min="8460" max="8460" width="3.25390625" style="40" customWidth="1"/>
    <col min="8461" max="8461" width="8.75390625" style="40" bestFit="1" customWidth="1"/>
    <col min="8462" max="8462" width="20.00390625" style="40" customWidth="1"/>
    <col min="8463" max="8704" width="8.75390625" style="40" customWidth="1"/>
    <col min="8705" max="8705" width="3.25390625" style="40" customWidth="1"/>
    <col min="8706" max="8706" width="6.00390625" style="40" customWidth="1"/>
    <col min="8707" max="8707" width="28.00390625" style="40" customWidth="1"/>
    <col min="8708" max="8708" width="2.25390625" style="40" customWidth="1"/>
    <col min="8709" max="8709" width="6.125" style="40" customWidth="1"/>
    <col min="8710" max="8710" width="2.00390625" style="40" bestFit="1" customWidth="1"/>
    <col min="8711" max="8711" width="2.00390625" style="40" customWidth="1"/>
    <col min="8712" max="8712" width="5.375" style="40" customWidth="1"/>
    <col min="8713" max="8713" width="3.25390625" style="40" customWidth="1"/>
    <col min="8714" max="8714" width="7.75390625" style="40" customWidth="1"/>
    <col min="8715" max="8715" width="2.00390625" style="40" bestFit="1" customWidth="1"/>
    <col min="8716" max="8716" width="3.25390625" style="40" customWidth="1"/>
    <col min="8717" max="8717" width="8.75390625" style="40" bestFit="1" customWidth="1"/>
    <col min="8718" max="8718" width="20.00390625" style="40" customWidth="1"/>
    <col min="8719" max="8960" width="8.75390625" style="40" customWidth="1"/>
    <col min="8961" max="8961" width="3.25390625" style="40" customWidth="1"/>
    <col min="8962" max="8962" width="6.00390625" style="40" customWidth="1"/>
    <col min="8963" max="8963" width="28.00390625" style="40" customWidth="1"/>
    <col min="8964" max="8964" width="2.25390625" style="40" customWidth="1"/>
    <col min="8965" max="8965" width="6.125" style="40" customWidth="1"/>
    <col min="8966" max="8966" width="2.00390625" style="40" bestFit="1" customWidth="1"/>
    <col min="8967" max="8967" width="2.00390625" style="40" customWidth="1"/>
    <col min="8968" max="8968" width="5.375" style="40" customWidth="1"/>
    <col min="8969" max="8969" width="3.25390625" style="40" customWidth="1"/>
    <col min="8970" max="8970" width="7.75390625" style="40" customWidth="1"/>
    <col min="8971" max="8971" width="2.00390625" style="40" bestFit="1" customWidth="1"/>
    <col min="8972" max="8972" width="3.25390625" style="40" customWidth="1"/>
    <col min="8973" max="8973" width="8.75390625" style="40" bestFit="1" customWidth="1"/>
    <col min="8974" max="8974" width="20.00390625" style="40" customWidth="1"/>
    <col min="8975" max="9216" width="8.75390625" style="40" customWidth="1"/>
    <col min="9217" max="9217" width="3.25390625" style="40" customWidth="1"/>
    <col min="9218" max="9218" width="6.00390625" style="40" customWidth="1"/>
    <col min="9219" max="9219" width="28.00390625" style="40" customWidth="1"/>
    <col min="9220" max="9220" width="2.25390625" style="40" customWidth="1"/>
    <col min="9221" max="9221" width="6.125" style="40" customWidth="1"/>
    <col min="9222" max="9222" width="2.00390625" style="40" bestFit="1" customWidth="1"/>
    <col min="9223" max="9223" width="2.00390625" style="40" customWidth="1"/>
    <col min="9224" max="9224" width="5.375" style="40" customWidth="1"/>
    <col min="9225" max="9225" width="3.25390625" style="40" customWidth="1"/>
    <col min="9226" max="9226" width="7.75390625" style="40" customWidth="1"/>
    <col min="9227" max="9227" width="2.00390625" style="40" bestFit="1" customWidth="1"/>
    <col min="9228" max="9228" width="3.25390625" style="40" customWidth="1"/>
    <col min="9229" max="9229" width="8.75390625" style="40" bestFit="1" customWidth="1"/>
    <col min="9230" max="9230" width="20.00390625" style="40" customWidth="1"/>
    <col min="9231" max="9472" width="8.75390625" style="40" customWidth="1"/>
    <col min="9473" max="9473" width="3.25390625" style="40" customWidth="1"/>
    <col min="9474" max="9474" width="6.00390625" style="40" customWidth="1"/>
    <col min="9475" max="9475" width="28.00390625" style="40" customWidth="1"/>
    <col min="9476" max="9476" width="2.25390625" style="40" customWidth="1"/>
    <col min="9477" max="9477" width="6.125" style="40" customWidth="1"/>
    <col min="9478" max="9478" width="2.00390625" style="40" bestFit="1" customWidth="1"/>
    <col min="9479" max="9479" width="2.00390625" style="40" customWidth="1"/>
    <col min="9480" max="9480" width="5.375" style="40" customWidth="1"/>
    <col min="9481" max="9481" width="3.25390625" style="40" customWidth="1"/>
    <col min="9482" max="9482" width="7.75390625" style="40" customWidth="1"/>
    <col min="9483" max="9483" width="2.00390625" style="40" bestFit="1" customWidth="1"/>
    <col min="9484" max="9484" width="3.25390625" style="40" customWidth="1"/>
    <col min="9485" max="9485" width="8.75390625" style="40" bestFit="1" customWidth="1"/>
    <col min="9486" max="9486" width="20.00390625" style="40" customWidth="1"/>
    <col min="9487" max="9728" width="8.75390625" style="40" customWidth="1"/>
    <col min="9729" max="9729" width="3.25390625" style="40" customWidth="1"/>
    <col min="9730" max="9730" width="6.00390625" style="40" customWidth="1"/>
    <col min="9731" max="9731" width="28.00390625" style="40" customWidth="1"/>
    <col min="9732" max="9732" width="2.25390625" style="40" customWidth="1"/>
    <col min="9733" max="9733" width="6.125" style="40" customWidth="1"/>
    <col min="9734" max="9734" width="2.00390625" style="40" bestFit="1" customWidth="1"/>
    <col min="9735" max="9735" width="2.00390625" style="40" customWidth="1"/>
    <col min="9736" max="9736" width="5.375" style="40" customWidth="1"/>
    <col min="9737" max="9737" width="3.25390625" style="40" customWidth="1"/>
    <col min="9738" max="9738" width="7.75390625" style="40" customWidth="1"/>
    <col min="9739" max="9739" width="2.00390625" style="40" bestFit="1" customWidth="1"/>
    <col min="9740" max="9740" width="3.25390625" style="40" customWidth="1"/>
    <col min="9741" max="9741" width="8.75390625" style="40" bestFit="1" customWidth="1"/>
    <col min="9742" max="9742" width="20.00390625" style="40" customWidth="1"/>
    <col min="9743" max="9984" width="8.75390625" style="40" customWidth="1"/>
    <col min="9985" max="9985" width="3.25390625" style="40" customWidth="1"/>
    <col min="9986" max="9986" width="6.00390625" style="40" customWidth="1"/>
    <col min="9987" max="9987" width="28.00390625" style="40" customWidth="1"/>
    <col min="9988" max="9988" width="2.25390625" style="40" customWidth="1"/>
    <col min="9989" max="9989" width="6.125" style="40" customWidth="1"/>
    <col min="9990" max="9990" width="2.00390625" style="40" bestFit="1" customWidth="1"/>
    <col min="9991" max="9991" width="2.00390625" style="40" customWidth="1"/>
    <col min="9992" max="9992" width="5.375" style="40" customWidth="1"/>
    <col min="9993" max="9993" width="3.25390625" style="40" customWidth="1"/>
    <col min="9994" max="9994" width="7.75390625" style="40" customWidth="1"/>
    <col min="9995" max="9995" width="2.00390625" style="40" bestFit="1" customWidth="1"/>
    <col min="9996" max="9996" width="3.25390625" style="40" customWidth="1"/>
    <col min="9997" max="9997" width="8.75390625" style="40" bestFit="1" customWidth="1"/>
    <col min="9998" max="9998" width="20.00390625" style="40" customWidth="1"/>
    <col min="9999" max="10240" width="8.75390625" style="40" customWidth="1"/>
    <col min="10241" max="10241" width="3.25390625" style="40" customWidth="1"/>
    <col min="10242" max="10242" width="6.00390625" style="40" customWidth="1"/>
    <col min="10243" max="10243" width="28.00390625" style="40" customWidth="1"/>
    <col min="10244" max="10244" width="2.25390625" style="40" customWidth="1"/>
    <col min="10245" max="10245" width="6.125" style="40" customWidth="1"/>
    <col min="10246" max="10246" width="2.00390625" style="40" bestFit="1" customWidth="1"/>
    <col min="10247" max="10247" width="2.00390625" style="40" customWidth="1"/>
    <col min="10248" max="10248" width="5.375" style="40" customWidth="1"/>
    <col min="10249" max="10249" width="3.25390625" style="40" customWidth="1"/>
    <col min="10250" max="10250" width="7.75390625" style="40" customWidth="1"/>
    <col min="10251" max="10251" width="2.00390625" style="40" bestFit="1" customWidth="1"/>
    <col min="10252" max="10252" width="3.25390625" style="40" customWidth="1"/>
    <col min="10253" max="10253" width="8.75390625" style="40" bestFit="1" customWidth="1"/>
    <col min="10254" max="10254" width="20.00390625" style="40" customWidth="1"/>
    <col min="10255" max="10496" width="8.75390625" style="40" customWidth="1"/>
    <col min="10497" max="10497" width="3.25390625" style="40" customWidth="1"/>
    <col min="10498" max="10498" width="6.00390625" style="40" customWidth="1"/>
    <col min="10499" max="10499" width="28.00390625" style="40" customWidth="1"/>
    <col min="10500" max="10500" width="2.25390625" style="40" customWidth="1"/>
    <col min="10501" max="10501" width="6.125" style="40" customWidth="1"/>
    <col min="10502" max="10502" width="2.00390625" style="40" bestFit="1" customWidth="1"/>
    <col min="10503" max="10503" width="2.00390625" style="40" customWidth="1"/>
    <col min="10504" max="10504" width="5.375" style="40" customWidth="1"/>
    <col min="10505" max="10505" width="3.25390625" style="40" customWidth="1"/>
    <col min="10506" max="10506" width="7.75390625" style="40" customWidth="1"/>
    <col min="10507" max="10507" width="2.00390625" style="40" bestFit="1" customWidth="1"/>
    <col min="10508" max="10508" width="3.25390625" style="40" customWidth="1"/>
    <col min="10509" max="10509" width="8.75390625" style="40" bestFit="1" customWidth="1"/>
    <col min="10510" max="10510" width="20.00390625" style="40" customWidth="1"/>
    <col min="10511" max="10752" width="8.75390625" style="40" customWidth="1"/>
    <col min="10753" max="10753" width="3.25390625" style="40" customWidth="1"/>
    <col min="10754" max="10754" width="6.00390625" style="40" customWidth="1"/>
    <col min="10755" max="10755" width="28.00390625" style="40" customWidth="1"/>
    <col min="10756" max="10756" width="2.25390625" style="40" customWidth="1"/>
    <col min="10757" max="10757" width="6.125" style="40" customWidth="1"/>
    <col min="10758" max="10758" width="2.00390625" style="40" bestFit="1" customWidth="1"/>
    <col min="10759" max="10759" width="2.00390625" style="40" customWidth="1"/>
    <col min="10760" max="10760" width="5.375" style="40" customWidth="1"/>
    <col min="10761" max="10761" width="3.25390625" style="40" customWidth="1"/>
    <col min="10762" max="10762" width="7.75390625" style="40" customWidth="1"/>
    <col min="10763" max="10763" width="2.00390625" style="40" bestFit="1" customWidth="1"/>
    <col min="10764" max="10764" width="3.25390625" style="40" customWidth="1"/>
    <col min="10765" max="10765" width="8.75390625" style="40" bestFit="1" customWidth="1"/>
    <col min="10766" max="10766" width="20.00390625" style="40" customWidth="1"/>
    <col min="10767" max="11008" width="8.75390625" style="40" customWidth="1"/>
    <col min="11009" max="11009" width="3.25390625" style="40" customWidth="1"/>
    <col min="11010" max="11010" width="6.00390625" style="40" customWidth="1"/>
    <col min="11011" max="11011" width="28.00390625" style="40" customWidth="1"/>
    <col min="11012" max="11012" width="2.25390625" style="40" customWidth="1"/>
    <col min="11013" max="11013" width="6.125" style="40" customWidth="1"/>
    <col min="11014" max="11014" width="2.00390625" style="40" bestFit="1" customWidth="1"/>
    <col min="11015" max="11015" width="2.00390625" style="40" customWidth="1"/>
    <col min="11016" max="11016" width="5.375" style="40" customWidth="1"/>
    <col min="11017" max="11017" width="3.25390625" style="40" customWidth="1"/>
    <col min="11018" max="11018" width="7.75390625" style="40" customWidth="1"/>
    <col min="11019" max="11019" width="2.00390625" style="40" bestFit="1" customWidth="1"/>
    <col min="11020" max="11020" width="3.25390625" style="40" customWidth="1"/>
    <col min="11021" max="11021" width="8.75390625" style="40" bestFit="1" customWidth="1"/>
    <col min="11022" max="11022" width="20.00390625" style="40" customWidth="1"/>
    <col min="11023" max="11264" width="8.75390625" style="40" customWidth="1"/>
    <col min="11265" max="11265" width="3.25390625" style="40" customWidth="1"/>
    <col min="11266" max="11266" width="6.00390625" style="40" customWidth="1"/>
    <col min="11267" max="11267" width="28.00390625" style="40" customWidth="1"/>
    <col min="11268" max="11268" width="2.25390625" style="40" customWidth="1"/>
    <col min="11269" max="11269" width="6.125" style="40" customWidth="1"/>
    <col min="11270" max="11270" width="2.00390625" style="40" bestFit="1" customWidth="1"/>
    <col min="11271" max="11271" width="2.00390625" style="40" customWidth="1"/>
    <col min="11272" max="11272" width="5.375" style="40" customWidth="1"/>
    <col min="11273" max="11273" width="3.25390625" style="40" customWidth="1"/>
    <col min="11274" max="11274" width="7.75390625" style="40" customWidth="1"/>
    <col min="11275" max="11275" width="2.00390625" style="40" bestFit="1" customWidth="1"/>
    <col min="11276" max="11276" width="3.25390625" style="40" customWidth="1"/>
    <col min="11277" max="11277" width="8.75390625" style="40" bestFit="1" customWidth="1"/>
    <col min="11278" max="11278" width="20.00390625" style="40" customWidth="1"/>
    <col min="11279" max="11520" width="8.75390625" style="40" customWidth="1"/>
    <col min="11521" max="11521" width="3.25390625" style="40" customWidth="1"/>
    <col min="11522" max="11522" width="6.00390625" style="40" customWidth="1"/>
    <col min="11523" max="11523" width="28.00390625" style="40" customWidth="1"/>
    <col min="11524" max="11524" width="2.25390625" style="40" customWidth="1"/>
    <col min="11525" max="11525" width="6.125" style="40" customWidth="1"/>
    <col min="11526" max="11526" width="2.00390625" style="40" bestFit="1" customWidth="1"/>
    <col min="11527" max="11527" width="2.00390625" style="40" customWidth="1"/>
    <col min="11528" max="11528" width="5.375" style="40" customWidth="1"/>
    <col min="11529" max="11529" width="3.25390625" style="40" customWidth="1"/>
    <col min="11530" max="11530" width="7.75390625" style="40" customWidth="1"/>
    <col min="11531" max="11531" width="2.00390625" style="40" bestFit="1" customWidth="1"/>
    <col min="11532" max="11532" width="3.25390625" style="40" customWidth="1"/>
    <col min="11533" max="11533" width="8.75390625" style="40" bestFit="1" customWidth="1"/>
    <col min="11534" max="11534" width="20.00390625" style="40" customWidth="1"/>
    <col min="11535" max="11776" width="8.75390625" style="40" customWidth="1"/>
    <col min="11777" max="11777" width="3.25390625" style="40" customWidth="1"/>
    <col min="11778" max="11778" width="6.00390625" style="40" customWidth="1"/>
    <col min="11779" max="11779" width="28.00390625" style="40" customWidth="1"/>
    <col min="11780" max="11780" width="2.25390625" style="40" customWidth="1"/>
    <col min="11781" max="11781" width="6.125" style="40" customWidth="1"/>
    <col min="11782" max="11782" width="2.00390625" style="40" bestFit="1" customWidth="1"/>
    <col min="11783" max="11783" width="2.00390625" style="40" customWidth="1"/>
    <col min="11784" max="11784" width="5.375" style="40" customWidth="1"/>
    <col min="11785" max="11785" width="3.25390625" style="40" customWidth="1"/>
    <col min="11786" max="11786" width="7.75390625" style="40" customWidth="1"/>
    <col min="11787" max="11787" width="2.00390625" style="40" bestFit="1" customWidth="1"/>
    <col min="11788" max="11788" width="3.25390625" style="40" customWidth="1"/>
    <col min="11789" max="11789" width="8.75390625" style="40" bestFit="1" customWidth="1"/>
    <col min="11790" max="11790" width="20.00390625" style="40" customWidth="1"/>
    <col min="11791" max="12032" width="8.75390625" style="40" customWidth="1"/>
    <col min="12033" max="12033" width="3.25390625" style="40" customWidth="1"/>
    <col min="12034" max="12034" width="6.00390625" style="40" customWidth="1"/>
    <col min="12035" max="12035" width="28.00390625" style="40" customWidth="1"/>
    <col min="12036" max="12036" width="2.25390625" style="40" customWidth="1"/>
    <col min="12037" max="12037" width="6.125" style="40" customWidth="1"/>
    <col min="12038" max="12038" width="2.00390625" style="40" bestFit="1" customWidth="1"/>
    <col min="12039" max="12039" width="2.00390625" style="40" customWidth="1"/>
    <col min="12040" max="12040" width="5.375" style="40" customWidth="1"/>
    <col min="12041" max="12041" width="3.25390625" style="40" customWidth="1"/>
    <col min="12042" max="12042" width="7.75390625" style="40" customWidth="1"/>
    <col min="12043" max="12043" width="2.00390625" style="40" bestFit="1" customWidth="1"/>
    <col min="12044" max="12044" width="3.25390625" style="40" customWidth="1"/>
    <col min="12045" max="12045" width="8.75390625" style="40" bestFit="1" customWidth="1"/>
    <col min="12046" max="12046" width="20.00390625" style="40" customWidth="1"/>
    <col min="12047" max="12288" width="8.75390625" style="40" customWidth="1"/>
    <col min="12289" max="12289" width="3.25390625" style="40" customWidth="1"/>
    <col min="12290" max="12290" width="6.00390625" style="40" customWidth="1"/>
    <col min="12291" max="12291" width="28.00390625" style="40" customWidth="1"/>
    <col min="12292" max="12292" width="2.25390625" style="40" customWidth="1"/>
    <col min="12293" max="12293" width="6.125" style="40" customWidth="1"/>
    <col min="12294" max="12294" width="2.00390625" style="40" bestFit="1" customWidth="1"/>
    <col min="12295" max="12295" width="2.00390625" style="40" customWidth="1"/>
    <col min="12296" max="12296" width="5.375" style="40" customWidth="1"/>
    <col min="12297" max="12297" width="3.25390625" style="40" customWidth="1"/>
    <col min="12298" max="12298" width="7.75390625" style="40" customWidth="1"/>
    <col min="12299" max="12299" width="2.00390625" style="40" bestFit="1" customWidth="1"/>
    <col min="12300" max="12300" width="3.25390625" style="40" customWidth="1"/>
    <col min="12301" max="12301" width="8.75390625" style="40" bestFit="1" customWidth="1"/>
    <col min="12302" max="12302" width="20.00390625" style="40" customWidth="1"/>
    <col min="12303" max="12544" width="8.75390625" style="40" customWidth="1"/>
    <col min="12545" max="12545" width="3.25390625" style="40" customWidth="1"/>
    <col min="12546" max="12546" width="6.00390625" style="40" customWidth="1"/>
    <col min="12547" max="12547" width="28.00390625" style="40" customWidth="1"/>
    <col min="12548" max="12548" width="2.25390625" style="40" customWidth="1"/>
    <col min="12549" max="12549" width="6.125" style="40" customWidth="1"/>
    <col min="12550" max="12550" width="2.00390625" style="40" bestFit="1" customWidth="1"/>
    <col min="12551" max="12551" width="2.00390625" style="40" customWidth="1"/>
    <col min="12552" max="12552" width="5.375" style="40" customWidth="1"/>
    <col min="12553" max="12553" width="3.25390625" style="40" customWidth="1"/>
    <col min="12554" max="12554" width="7.75390625" style="40" customWidth="1"/>
    <col min="12555" max="12555" width="2.00390625" style="40" bestFit="1" customWidth="1"/>
    <col min="12556" max="12556" width="3.25390625" style="40" customWidth="1"/>
    <col min="12557" max="12557" width="8.75390625" style="40" bestFit="1" customWidth="1"/>
    <col min="12558" max="12558" width="20.00390625" style="40" customWidth="1"/>
    <col min="12559" max="12800" width="8.75390625" style="40" customWidth="1"/>
    <col min="12801" max="12801" width="3.25390625" style="40" customWidth="1"/>
    <col min="12802" max="12802" width="6.00390625" style="40" customWidth="1"/>
    <col min="12803" max="12803" width="28.00390625" style="40" customWidth="1"/>
    <col min="12804" max="12804" width="2.25390625" style="40" customWidth="1"/>
    <col min="12805" max="12805" width="6.125" style="40" customWidth="1"/>
    <col min="12806" max="12806" width="2.00390625" style="40" bestFit="1" customWidth="1"/>
    <col min="12807" max="12807" width="2.00390625" style="40" customWidth="1"/>
    <col min="12808" max="12808" width="5.375" style="40" customWidth="1"/>
    <col min="12809" max="12809" width="3.25390625" style="40" customWidth="1"/>
    <col min="12810" max="12810" width="7.75390625" style="40" customWidth="1"/>
    <col min="12811" max="12811" width="2.00390625" style="40" bestFit="1" customWidth="1"/>
    <col min="12812" max="12812" width="3.25390625" style="40" customWidth="1"/>
    <col min="12813" max="12813" width="8.75390625" style="40" bestFit="1" customWidth="1"/>
    <col min="12814" max="12814" width="20.00390625" style="40" customWidth="1"/>
    <col min="12815" max="13056" width="8.75390625" style="40" customWidth="1"/>
    <col min="13057" max="13057" width="3.25390625" style="40" customWidth="1"/>
    <col min="13058" max="13058" width="6.00390625" style="40" customWidth="1"/>
    <col min="13059" max="13059" width="28.00390625" style="40" customWidth="1"/>
    <col min="13060" max="13060" width="2.25390625" style="40" customWidth="1"/>
    <col min="13061" max="13061" width="6.125" style="40" customWidth="1"/>
    <col min="13062" max="13062" width="2.00390625" style="40" bestFit="1" customWidth="1"/>
    <col min="13063" max="13063" width="2.00390625" style="40" customWidth="1"/>
    <col min="13064" max="13064" width="5.375" style="40" customWidth="1"/>
    <col min="13065" max="13065" width="3.25390625" style="40" customWidth="1"/>
    <col min="13066" max="13066" width="7.75390625" style="40" customWidth="1"/>
    <col min="13067" max="13067" width="2.00390625" style="40" bestFit="1" customWidth="1"/>
    <col min="13068" max="13068" width="3.25390625" style="40" customWidth="1"/>
    <col min="13069" max="13069" width="8.75390625" style="40" bestFit="1" customWidth="1"/>
    <col min="13070" max="13070" width="20.00390625" style="40" customWidth="1"/>
    <col min="13071" max="13312" width="8.75390625" style="40" customWidth="1"/>
    <col min="13313" max="13313" width="3.25390625" style="40" customWidth="1"/>
    <col min="13314" max="13314" width="6.00390625" style="40" customWidth="1"/>
    <col min="13315" max="13315" width="28.00390625" style="40" customWidth="1"/>
    <col min="13316" max="13316" width="2.25390625" style="40" customWidth="1"/>
    <col min="13317" max="13317" width="6.125" style="40" customWidth="1"/>
    <col min="13318" max="13318" width="2.00390625" style="40" bestFit="1" customWidth="1"/>
    <col min="13319" max="13319" width="2.00390625" style="40" customWidth="1"/>
    <col min="13320" max="13320" width="5.375" style="40" customWidth="1"/>
    <col min="13321" max="13321" width="3.25390625" style="40" customWidth="1"/>
    <col min="13322" max="13322" width="7.75390625" style="40" customWidth="1"/>
    <col min="13323" max="13323" width="2.00390625" style="40" bestFit="1" customWidth="1"/>
    <col min="13324" max="13324" width="3.25390625" style="40" customWidth="1"/>
    <col min="13325" max="13325" width="8.75390625" style="40" bestFit="1" customWidth="1"/>
    <col min="13326" max="13326" width="20.00390625" style="40" customWidth="1"/>
    <col min="13327" max="13568" width="8.75390625" style="40" customWidth="1"/>
    <col min="13569" max="13569" width="3.25390625" style="40" customWidth="1"/>
    <col min="13570" max="13570" width="6.00390625" style="40" customWidth="1"/>
    <col min="13571" max="13571" width="28.00390625" style="40" customWidth="1"/>
    <col min="13572" max="13572" width="2.25390625" style="40" customWidth="1"/>
    <col min="13573" max="13573" width="6.125" style="40" customWidth="1"/>
    <col min="13574" max="13574" width="2.00390625" style="40" bestFit="1" customWidth="1"/>
    <col min="13575" max="13575" width="2.00390625" style="40" customWidth="1"/>
    <col min="13576" max="13576" width="5.375" style="40" customWidth="1"/>
    <col min="13577" max="13577" width="3.25390625" style="40" customWidth="1"/>
    <col min="13578" max="13578" width="7.75390625" style="40" customWidth="1"/>
    <col min="13579" max="13579" width="2.00390625" style="40" bestFit="1" customWidth="1"/>
    <col min="13580" max="13580" width="3.25390625" style="40" customWidth="1"/>
    <col min="13581" max="13581" width="8.75390625" style="40" bestFit="1" customWidth="1"/>
    <col min="13582" max="13582" width="20.00390625" style="40" customWidth="1"/>
    <col min="13583" max="13824" width="8.75390625" style="40" customWidth="1"/>
    <col min="13825" max="13825" width="3.25390625" style="40" customWidth="1"/>
    <col min="13826" max="13826" width="6.00390625" style="40" customWidth="1"/>
    <col min="13827" max="13827" width="28.00390625" style="40" customWidth="1"/>
    <col min="13828" max="13828" width="2.25390625" style="40" customWidth="1"/>
    <col min="13829" max="13829" width="6.125" style="40" customWidth="1"/>
    <col min="13830" max="13830" width="2.00390625" style="40" bestFit="1" customWidth="1"/>
    <col min="13831" max="13831" width="2.00390625" style="40" customWidth="1"/>
    <col min="13832" max="13832" width="5.375" style="40" customWidth="1"/>
    <col min="13833" max="13833" width="3.25390625" style="40" customWidth="1"/>
    <col min="13834" max="13834" width="7.75390625" style="40" customWidth="1"/>
    <col min="13835" max="13835" width="2.00390625" style="40" bestFit="1" customWidth="1"/>
    <col min="13836" max="13836" width="3.25390625" style="40" customWidth="1"/>
    <col min="13837" max="13837" width="8.75390625" style="40" bestFit="1" customWidth="1"/>
    <col min="13838" max="13838" width="20.00390625" style="40" customWidth="1"/>
    <col min="13839" max="14080" width="8.75390625" style="40" customWidth="1"/>
    <col min="14081" max="14081" width="3.25390625" style="40" customWidth="1"/>
    <col min="14082" max="14082" width="6.00390625" style="40" customWidth="1"/>
    <col min="14083" max="14083" width="28.00390625" style="40" customWidth="1"/>
    <col min="14084" max="14084" width="2.25390625" style="40" customWidth="1"/>
    <col min="14085" max="14085" width="6.125" style="40" customWidth="1"/>
    <col min="14086" max="14086" width="2.00390625" style="40" bestFit="1" customWidth="1"/>
    <col min="14087" max="14087" width="2.00390625" style="40" customWidth="1"/>
    <col min="14088" max="14088" width="5.375" style="40" customWidth="1"/>
    <col min="14089" max="14089" width="3.25390625" style="40" customWidth="1"/>
    <col min="14090" max="14090" width="7.75390625" style="40" customWidth="1"/>
    <col min="14091" max="14091" width="2.00390625" style="40" bestFit="1" customWidth="1"/>
    <col min="14092" max="14092" width="3.25390625" style="40" customWidth="1"/>
    <col min="14093" max="14093" width="8.75390625" style="40" bestFit="1" customWidth="1"/>
    <col min="14094" max="14094" width="20.00390625" style="40" customWidth="1"/>
    <col min="14095" max="14336" width="8.75390625" style="40" customWidth="1"/>
    <col min="14337" max="14337" width="3.25390625" style="40" customWidth="1"/>
    <col min="14338" max="14338" width="6.00390625" style="40" customWidth="1"/>
    <col min="14339" max="14339" width="28.00390625" style="40" customWidth="1"/>
    <col min="14340" max="14340" width="2.25390625" style="40" customWidth="1"/>
    <col min="14341" max="14341" width="6.125" style="40" customWidth="1"/>
    <col min="14342" max="14342" width="2.00390625" style="40" bestFit="1" customWidth="1"/>
    <col min="14343" max="14343" width="2.00390625" style="40" customWidth="1"/>
    <col min="14344" max="14344" width="5.375" style="40" customWidth="1"/>
    <col min="14345" max="14345" width="3.25390625" style="40" customWidth="1"/>
    <col min="14346" max="14346" width="7.75390625" style="40" customWidth="1"/>
    <col min="14347" max="14347" width="2.00390625" style="40" bestFit="1" customWidth="1"/>
    <col min="14348" max="14348" width="3.25390625" style="40" customWidth="1"/>
    <col min="14349" max="14349" width="8.75390625" style="40" bestFit="1" customWidth="1"/>
    <col min="14350" max="14350" width="20.00390625" style="40" customWidth="1"/>
    <col min="14351" max="14592" width="8.75390625" style="40" customWidth="1"/>
    <col min="14593" max="14593" width="3.25390625" style="40" customWidth="1"/>
    <col min="14594" max="14594" width="6.00390625" style="40" customWidth="1"/>
    <col min="14595" max="14595" width="28.00390625" style="40" customWidth="1"/>
    <col min="14596" max="14596" width="2.25390625" style="40" customWidth="1"/>
    <col min="14597" max="14597" width="6.125" style="40" customWidth="1"/>
    <col min="14598" max="14598" width="2.00390625" style="40" bestFit="1" customWidth="1"/>
    <col min="14599" max="14599" width="2.00390625" style="40" customWidth="1"/>
    <col min="14600" max="14600" width="5.375" style="40" customWidth="1"/>
    <col min="14601" max="14601" width="3.25390625" style="40" customWidth="1"/>
    <col min="14602" max="14602" width="7.75390625" style="40" customWidth="1"/>
    <col min="14603" max="14603" width="2.00390625" style="40" bestFit="1" customWidth="1"/>
    <col min="14604" max="14604" width="3.25390625" style="40" customWidth="1"/>
    <col min="14605" max="14605" width="8.75390625" style="40" bestFit="1" customWidth="1"/>
    <col min="14606" max="14606" width="20.00390625" style="40" customWidth="1"/>
    <col min="14607" max="14848" width="8.75390625" style="40" customWidth="1"/>
    <col min="14849" max="14849" width="3.25390625" style="40" customWidth="1"/>
    <col min="14850" max="14850" width="6.00390625" style="40" customWidth="1"/>
    <col min="14851" max="14851" width="28.00390625" style="40" customWidth="1"/>
    <col min="14852" max="14852" width="2.25390625" style="40" customWidth="1"/>
    <col min="14853" max="14853" width="6.125" style="40" customWidth="1"/>
    <col min="14854" max="14854" width="2.00390625" style="40" bestFit="1" customWidth="1"/>
    <col min="14855" max="14855" width="2.00390625" style="40" customWidth="1"/>
    <col min="14856" max="14856" width="5.375" style="40" customWidth="1"/>
    <col min="14857" max="14857" width="3.25390625" style="40" customWidth="1"/>
    <col min="14858" max="14858" width="7.75390625" style="40" customWidth="1"/>
    <col min="14859" max="14859" width="2.00390625" style="40" bestFit="1" customWidth="1"/>
    <col min="14860" max="14860" width="3.25390625" style="40" customWidth="1"/>
    <col min="14861" max="14861" width="8.75390625" style="40" bestFit="1" customWidth="1"/>
    <col min="14862" max="14862" width="20.00390625" style="40" customWidth="1"/>
    <col min="14863" max="15104" width="8.75390625" style="40" customWidth="1"/>
    <col min="15105" max="15105" width="3.25390625" style="40" customWidth="1"/>
    <col min="15106" max="15106" width="6.00390625" style="40" customWidth="1"/>
    <col min="15107" max="15107" width="28.00390625" style="40" customWidth="1"/>
    <col min="15108" max="15108" width="2.25390625" style="40" customWidth="1"/>
    <col min="15109" max="15109" width="6.125" style="40" customWidth="1"/>
    <col min="15110" max="15110" width="2.00390625" style="40" bestFit="1" customWidth="1"/>
    <col min="15111" max="15111" width="2.00390625" style="40" customWidth="1"/>
    <col min="15112" max="15112" width="5.375" style="40" customWidth="1"/>
    <col min="15113" max="15113" width="3.25390625" style="40" customWidth="1"/>
    <col min="15114" max="15114" width="7.75390625" style="40" customWidth="1"/>
    <col min="15115" max="15115" width="2.00390625" style="40" bestFit="1" customWidth="1"/>
    <col min="15116" max="15116" width="3.25390625" style="40" customWidth="1"/>
    <col min="15117" max="15117" width="8.75390625" style="40" bestFit="1" customWidth="1"/>
    <col min="15118" max="15118" width="20.00390625" style="40" customWidth="1"/>
    <col min="15119" max="15360" width="8.75390625" style="40" customWidth="1"/>
    <col min="15361" max="15361" width="3.25390625" style="40" customWidth="1"/>
    <col min="15362" max="15362" width="6.00390625" style="40" customWidth="1"/>
    <col min="15363" max="15363" width="28.00390625" style="40" customWidth="1"/>
    <col min="15364" max="15364" width="2.25390625" style="40" customWidth="1"/>
    <col min="15365" max="15365" width="6.125" style="40" customWidth="1"/>
    <col min="15366" max="15366" width="2.00390625" style="40" bestFit="1" customWidth="1"/>
    <col min="15367" max="15367" width="2.00390625" style="40" customWidth="1"/>
    <col min="15368" max="15368" width="5.375" style="40" customWidth="1"/>
    <col min="15369" max="15369" width="3.25390625" style="40" customWidth="1"/>
    <col min="15370" max="15370" width="7.75390625" style="40" customWidth="1"/>
    <col min="15371" max="15371" width="2.00390625" style="40" bestFit="1" customWidth="1"/>
    <col min="15372" max="15372" width="3.25390625" style="40" customWidth="1"/>
    <col min="15373" max="15373" width="8.75390625" style="40" bestFit="1" customWidth="1"/>
    <col min="15374" max="15374" width="20.00390625" style="40" customWidth="1"/>
    <col min="15375" max="15616" width="8.75390625" style="40" customWidth="1"/>
    <col min="15617" max="15617" width="3.25390625" style="40" customWidth="1"/>
    <col min="15618" max="15618" width="6.00390625" style="40" customWidth="1"/>
    <col min="15619" max="15619" width="28.00390625" style="40" customWidth="1"/>
    <col min="15620" max="15620" width="2.25390625" style="40" customWidth="1"/>
    <col min="15621" max="15621" width="6.125" style="40" customWidth="1"/>
    <col min="15622" max="15622" width="2.00390625" style="40" bestFit="1" customWidth="1"/>
    <col min="15623" max="15623" width="2.00390625" style="40" customWidth="1"/>
    <col min="15624" max="15624" width="5.375" style="40" customWidth="1"/>
    <col min="15625" max="15625" width="3.25390625" style="40" customWidth="1"/>
    <col min="15626" max="15626" width="7.75390625" style="40" customWidth="1"/>
    <col min="15627" max="15627" width="2.00390625" style="40" bestFit="1" customWidth="1"/>
    <col min="15628" max="15628" width="3.25390625" style="40" customWidth="1"/>
    <col min="15629" max="15629" width="8.75390625" style="40" bestFit="1" customWidth="1"/>
    <col min="15630" max="15630" width="20.00390625" style="40" customWidth="1"/>
    <col min="15631" max="15872" width="8.75390625" style="40" customWidth="1"/>
    <col min="15873" max="15873" width="3.25390625" style="40" customWidth="1"/>
    <col min="15874" max="15874" width="6.00390625" style="40" customWidth="1"/>
    <col min="15875" max="15875" width="28.00390625" style="40" customWidth="1"/>
    <col min="15876" max="15876" width="2.25390625" style="40" customWidth="1"/>
    <col min="15877" max="15877" width="6.125" style="40" customWidth="1"/>
    <col min="15878" max="15878" width="2.00390625" style="40" bestFit="1" customWidth="1"/>
    <col min="15879" max="15879" width="2.00390625" style="40" customWidth="1"/>
    <col min="15880" max="15880" width="5.375" style="40" customWidth="1"/>
    <col min="15881" max="15881" width="3.25390625" style="40" customWidth="1"/>
    <col min="15882" max="15882" width="7.75390625" style="40" customWidth="1"/>
    <col min="15883" max="15883" width="2.00390625" style="40" bestFit="1" customWidth="1"/>
    <col min="15884" max="15884" width="3.25390625" style="40" customWidth="1"/>
    <col min="15885" max="15885" width="8.75390625" style="40" bestFit="1" customWidth="1"/>
    <col min="15886" max="15886" width="20.00390625" style="40" customWidth="1"/>
    <col min="15887" max="16128" width="8.75390625" style="40" customWidth="1"/>
    <col min="16129" max="16129" width="3.25390625" style="40" customWidth="1"/>
    <col min="16130" max="16130" width="6.00390625" style="40" customWidth="1"/>
    <col min="16131" max="16131" width="28.00390625" style="40" customWidth="1"/>
    <col min="16132" max="16132" width="2.25390625" style="40" customWidth="1"/>
    <col min="16133" max="16133" width="6.125" style="40" customWidth="1"/>
    <col min="16134" max="16134" width="2.00390625" style="40" bestFit="1" customWidth="1"/>
    <col min="16135" max="16135" width="2.00390625" style="40" customWidth="1"/>
    <col min="16136" max="16136" width="5.375" style="40" customWidth="1"/>
    <col min="16137" max="16137" width="3.25390625" style="40" customWidth="1"/>
    <col min="16138" max="16138" width="7.75390625" style="40" customWidth="1"/>
    <col min="16139" max="16139" width="2.00390625" style="40" bestFit="1" customWidth="1"/>
    <col min="16140" max="16140" width="3.25390625" style="40" customWidth="1"/>
    <col min="16141" max="16141" width="8.75390625" style="40" bestFit="1" customWidth="1"/>
    <col min="16142" max="16142" width="20.00390625" style="40" customWidth="1"/>
    <col min="16143" max="16383" width="8.75390625" style="40" customWidth="1"/>
    <col min="16384" max="16384" width="8.75390625" style="40" customWidth="1"/>
  </cols>
  <sheetData>
    <row r="1" spans="1:12" ht="63.75" customHeight="1">
      <c r="A1" s="208" t="str">
        <f>RESUMO!$A$1</f>
        <v xml:space="preserve">ESTADO DO PARÁ
CAMARA MUNICIPAL DE OUREM
CNPJ: 05.361.845/0001-26
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2:12" ht="14.25" thickBo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2:12" ht="15" customHeight="1" thickBot="1">
      <c r="B3" s="206" t="s">
        <v>41</v>
      </c>
      <c r="C3" s="207"/>
      <c r="D3" s="207"/>
      <c r="E3" s="207"/>
      <c r="F3" s="207"/>
      <c r="G3" s="207"/>
      <c r="H3" s="207"/>
      <c r="I3" s="207"/>
      <c r="J3" s="207"/>
      <c r="K3" s="207"/>
      <c r="L3" s="73"/>
    </row>
    <row r="4" ht="7.5" customHeight="1">
      <c r="C4" s="42"/>
    </row>
    <row r="5" ht="7.5" customHeight="1">
      <c r="C5" s="42"/>
    </row>
    <row r="6" spans="3:12" ht="20.25" customHeight="1">
      <c r="C6" s="49" t="s">
        <v>42</v>
      </c>
      <c r="D6" s="209" t="str">
        <f>RESUMO!$D$5</f>
        <v>ADEQUAÇÃO DE UM PRÉDIO PÚBLICO DA CÂMARA MUNICIPAL DE OUREM</v>
      </c>
      <c r="E6" s="209"/>
      <c r="F6" s="209"/>
      <c r="G6" s="209"/>
      <c r="H6" s="209"/>
      <c r="I6" s="209"/>
      <c r="J6" s="209"/>
      <c r="K6" s="77"/>
      <c r="L6" s="77"/>
    </row>
    <row r="7" spans="4:14" s="75" customFormat="1" ht="22.5" customHeight="1">
      <c r="D7" s="75" t="str">
        <f>RESUMO!$D$6</f>
        <v>ENDEREÇO: SEDE DO MUNICÍPIO DE OUREM/PA</v>
      </c>
      <c r="N7" s="76"/>
    </row>
    <row r="8" ht="14.25">
      <c r="D8" s="43" t="s">
        <v>43</v>
      </c>
    </row>
    <row r="10" spans="3:7" ht="14.25">
      <c r="C10" s="44" t="s">
        <v>44</v>
      </c>
      <c r="D10" s="45" t="s">
        <v>45</v>
      </c>
      <c r="E10" s="46"/>
      <c r="F10" s="47">
        <v>3</v>
      </c>
      <c r="G10" s="48" t="s">
        <v>46</v>
      </c>
    </row>
    <row r="11" spans="3:6" ht="6" customHeight="1">
      <c r="C11" s="44"/>
      <c r="F11" s="49"/>
    </row>
    <row r="12" spans="3:7" ht="14.25">
      <c r="C12" s="44" t="s">
        <v>47</v>
      </c>
      <c r="D12" s="45" t="s">
        <v>48</v>
      </c>
      <c r="E12" s="46"/>
      <c r="F12" s="47">
        <v>1</v>
      </c>
      <c r="G12" s="48" t="s">
        <v>46</v>
      </c>
    </row>
    <row r="13" spans="3:6" ht="6" customHeight="1">
      <c r="C13" s="44"/>
      <c r="F13" s="49"/>
    </row>
    <row r="14" spans="3:7" ht="14.25">
      <c r="C14" s="44" t="s">
        <v>49</v>
      </c>
      <c r="D14" s="45" t="s">
        <v>50</v>
      </c>
      <c r="E14" s="46"/>
      <c r="F14" s="47">
        <v>1.1</v>
      </c>
      <c r="G14" s="48" t="s">
        <v>46</v>
      </c>
    </row>
    <row r="15" spans="3:6" ht="6" customHeight="1">
      <c r="C15" s="44"/>
      <c r="F15" s="49"/>
    </row>
    <row r="16" spans="3:7" ht="14.25">
      <c r="C16" s="44" t="s">
        <v>51</v>
      </c>
      <c r="D16" s="45" t="s">
        <v>52</v>
      </c>
      <c r="E16" s="46"/>
      <c r="F16" s="47">
        <v>2.3</v>
      </c>
      <c r="G16" s="48" t="s">
        <v>46</v>
      </c>
    </row>
    <row r="17" spans="3:6" ht="6" customHeight="1">
      <c r="C17" s="44"/>
      <c r="F17" s="49"/>
    </row>
    <row r="18" spans="3:7" ht="14.25">
      <c r="C18" s="44"/>
      <c r="D18" s="50" t="s">
        <v>53</v>
      </c>
      <c r="E18" s="51"/>
      <c r="F18" s="52">
        <v>5</v>
      </c>
      <c r="G18" s="53" t="s">
        <v>46</v>
      </c>
    </row>
    <row r="19" spans="3:7" ht="14.25">
      <c r="C19" s="44" t="s">
        <v>54</v>
      </c>
      <c r="D19" s="54" t="s">
        <v>55</v>
      </c>
      <c r="E19" s="55"/>
      <c r="F19" s="40">
        <v>0.65</v>
      </c>
      <c r="G19" s="56" t="s">
        <v>46</v>
      </c>
    </row>
    <row r="20" spans="3:7" ht="14.25">
      <c r="C20" s="44"/>
      <c r="D20" s="54" t="s">
        <v>56</v>
      </c>
      <c r="E20" s="55"/>
      <c r="F20" s="40">
        <v>3</v>
      </c>
      <c r="G20" s="56" t="s">
        <v>46</v>
      </c>
    </row>
    <row r="21" spans="3:7" ht="14.25">
      <c r="C21" s="44"/>
      <c r="D21" s="57" t="s">
        <v>57</v>
      </c>
      <c r="E21" s="58"/>
      <c r="F21" s="47">
        <f>SUM(F18:F20)</f>
        <v>8.65</v>
      </c>
      <c r="G21" s="48" t="s">
        <v>46</v>
      </c>
    </row>
    <row r="22" spans="3:6" ht="6" customHeight="1">
      <c r="C22" s="44"/>
      <c r="F22" s="49"/>
    </row>
    <row r="23" spans="3:7" ht="14.25">
      <c r="C23" s="44" t="s">
        <v>58</v>
      </c>
      <c r="D23" s="45" t="s">
        <v>59</v>
      </c>
      <c r="E23" s="46"/>
      <c r="F23" s="47">
        <v>8.96</v>
      </c>
      <c r="G23" s="48" t="s">
        <v>46</v>
      </c>
    </row>
    <row r="24" ht="14.25">
      <c r="O24" s="59"/>
    </row>
    <row r="25" spans="5:15" ht="14.25">
      <c r="E25" s="49"/>
      <c r="O25" s="59"/>
    </row>
    <row r="26" spans="3:15" ht="14.25">
      <c r="C26" s="43" t="s">
        <v>60</v>
      </c>
      <c r="O26" s="59"/>
    </row>
    <row r="27" spans="2:15" ht="14.25">
      <c r="B27" s="60"/>
      <c r="C27" s="52"/>
      <c r="D27" s="52"/>
      <c r="E27" s="52"/>
      <c r="F27" s="52"/>
      <c r="G27" s="52"/>
      <c r="H27" s="52"/>
      <c r="I27" s="52"/>
      <c r="J27" s="52"/>
      <c r="K27" s="53"/>
      <c r="O27" s="59"/>
    </row>
    <row r="28" spans="2:11" ht="14.25">
      <c r="B28" s="61"/>
      <c r="C28" s="43" t="s">
        <v>61</v>
      </c>
      <c r="D28" s="62" t="s">
        <v>62</v>
      </c>
      <c r="E28" s="40" t="s">
        <v>63</v>
      </c>
      <c r="F28" s="55">
        <v>1</v>
      </c>
      <c r="G28" s="44"/>
      <c r="H28" s="44" t="s">
        <v>64</v>
      </c>
      <c r="I28" s="63">
        <v>100</v>
      </c>
      <c r="K28" s="56"/>
    </row>
    <row r="29" spans="2:11" ht="14.25">
      <c r="B29" s="61"/>
      <c r="D29" s="55" t="s">
        <v>65</v>
      </c>
      <c r="E29" s="55"/>
      <c r="K29" s="56"/>
    </row>
    <row r="30" spans="2:11" ht="14.25">
      <c r="B30" s="64"/>
      <c r="C30" s="65"/>
      <c r="D30" s="65"/>
      <c r="E30" s="65"/>
      <c r="F30" s="65"/>
      <c r="G30" s="65"/>
      <c r="H30" s="65"/>
      <c r="I30" s="65"/>
      <c r="J30" s="65"/>
      <c r="K30" s="66"/>
    </row>
    <row r="32" ht="14.25">
      <c r="C32" s="43" t="s">
        <v>66</v>
      </c>
    </row>
    <row r="33" spans="2:11" ht="14.25">
      <c r="B33" s="60"/>
      <c r="C33" s="52"/>
      <c r="D33" s="52"/>
      <c r="E33" s="52"/>
      <c r="F33" s="52"/>
      <c r="G33" s="52"/>
      <c r="H33" s="52"/>
      <c r="I33" s="52"/>
      <c r="J33" s="52"/>
      <c r="K33" s="53"/>
    </row>
    <row r="34" spans="2:16" ht="14.25">
      <c r="B34" s="61"/>
      <c r="C34" s="43" t="s">
        <v>67</v>
      </c>
      <c r="D34" s="67">
        <f>(1+(F10+F12+F14))*(1+F16)*(1+F23)</f>
        <v>200.4948</v>
      </c>
      <c r="E34" s="40" t="s">
        <v>63</v>
      </c>
      <c r="F34" s="55">
        <v>1</v>
      </c>
      <c r="G34" s="44"/>
      <c r="H34" s="44"/>
      <c r="I34" s="44" t="s">
        <v>68</v>
      </c>
      <c r="J34" s="204">
        <f>((D34/D35)*-1)/100</f>
        <v>0.28815004311583786</v>
      </c>
      <c r="K34" s="205"/>
      <c r="P34" s="68"/>
    </row>
    <row r="35" spans="2:11" ht="14.25">
      <c r="B35" s="61"/>
      <c r="D35" s="74">
        <f>(1.692-F21)</f>
        <v>-6.958</v>
      </c>
      <c r="E35" s="55"/>
      <c r="K35" s="56"/>
    </row>
    <row r="36" spans="2:11" ht="14.25">
      <c r="B36" s="64"/>
      <c r="C36" s="65"/>
      <c r="D36" s="65"/>
      <c r="E36" s="65"/>
      <c r="F36" s="65"/>
      <c r="G36" s="65"/>
      <c r="H36" s="65"/>
      <c r="I36" s="65"/>
      <c r="J36" s="65"/>
      <c r="K36" s="66"/>
    </row>
    <row r="38" spans="4:14" ht="14.25">
      <c r="D38" s="69" t="s">
        <v>69</v>
      </c>
      <c r="F38" s="43">
        <f>$J$34*100</f>
        <v>28.815004311583785</v>
      </c>
      <c r="G38" s="49" t="s">
        <v>46</v>
      </c>
      <c r="N38" s="70"/>
    </row>
    <row r="39" spans="4:14" ht="14.25">
      <c r="D39" s="69"/>
      <c r="F39" s="43"/>
      <c r="G39" s="49"/>
      <c r="N39" s="70"/>
    </row>
    <row r="40" spans="4:14" ht="14.25">
      <c r="D40" s="69"/>
      <c r="F40" s="43"/>
      <c r="G40" s="49"/>
      <c r="N40" s="70"/>
    </row>
    <row r="41" spans="4:14" ht="14.25">
      <c r="D41" s="69"/>
      <c r="F41" s="43"/>
      <c r="G41" s="49"/>
      <c r="N41" s="70"/>
    </row>
    <row r="42" ht="14.25">
      <c r="B42" s="40" t="str">
        <f>RESUMO!$D$8</f>
        <v>DATA: OUTUBRO DE 2023</v>
      </c>
    </row>
    <row r="43" spans="2:12" ht="14.25">
      <c r="B43" s="201"/>
      <c r="C43" s="202"/>
      <c r="D43" s="202"/>
      <c r="E43" s="202"/>
      <c r="F43" s="202"/>
      <c r="G43" s="202"/>
      <c r="H43" s="202"/>
      <c r="I43" s="202"/>
      <c r="J43" s="202"/>
      <c r="K43" s="202"/>
      <c r="L43" s="202"/>
    </row>
    <row r="44" spans="2:12" ht="14.25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</row>
    <row r="45" ht="14.25">
      <c r="N45" s="70"/>
    </row>
    <row r="47" ht="14.25">
      <c r="N47" s="70"/>
    </row>
    <row r="49" ht="14.25">
      <c r="N49" s="70"/>
    </row>
  </sheetData>
  <mergeCells count="6">
    <mergeCell ref="B43:L44"/>
    <mergeCell ref="B2:L2"/>
    <mergeCell ref="J34:K34"/>
    <mergeCell ref="B3:K3"/>
    <mergeCell ref="A1:L1"/>
    <mergeCell ref="D6:J6"/>
  </mergeCells>
  <printOptions/>
  <pageMargins left="0.9055118110236221" right="0.5118110236220472" top="1.1811023622047245" bottom="0.7874015748031497" header="0.31496062992125984" footer="0.31496062992125984"/>
  <pageSetup horizontalDpi="600" verticalDpi="600" orientation="portrait" paperSize="9" r:id="rId3"/>
  <headerFooter>
    <oddHeader>&amp;C&amp;G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jorge luis pinto mesquita</cp:lastModifiedBy>
  <cp:lastPrinted>2023-12-11T12:28:58Z</cp:lastPrinted>
  <dcterms:created xsi:type="dcterms:W3CDTF">2021-07-08T09:48:36Z</dcterms:created>
  <dcterms:modified xsi:type="dcterms:W3CDTF">2023-12-11T12:33:32Z</dcterms:modified>
  <cp:category/>
  <cp:version/>
  <cp:contentType/>
  <cp:contentStatus/>
</cp:coreProperties>
</file>